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0320"/>
  </bookViews>
  <sheets>
    <sheet name="CH jednotlivci" sheetId="1" r:id="rId1"/>
    <sheet name="D jednotlivci" sheetId="7" r:id="rId2"/>
    <sheet name="TISK" sheetId="8" r:id="rId3"/>
    <sheet name="Číselník škol" sheetId="6" r:id="rId4"/>
  </sheets>
  <definedNames>
    <definedName name="_xlnm._FilterDatabase" localSheetId="1" hidden="1">'D jednotlivci'!$C$19:$S$136</definedName>
    <definedName name="_xlnm._FilterDatabase" localSheetId="0" hidden="1">'CH jednotlivci'!$C$19:$S$136</definedName>
    <definedName name="_xlnm.Print_Titles" localSheetId="0">'CH jednotlivci'!$19:$19</definedName>
    <definedName name="_xlnm.Print_Area" localSheetId="1">'D jednotlivci'!$A$1:$T$47</definedName>
    <definedName name="_xlnm.Print_Area" localSheetId="0">'CH jednotlivci'!$A$1:$T$46</definedName>
  </definedNames>
  <calcPr calcId="145621"/>
</workbook>
</file>

<file path=xl/calcChain.xml><?xml version="1.0" encoding="utf-8"?>
<calcChain xmlns="http://schemas.openxmlformats.org/spreadsheetml/2006/main">
  <c r="Q16" i="7" l="1"/>
  <c r="Q15" i="7"/>
  <c r="Q14" i="7"/>
  <c r="Q13" i="7"/>
  <c r="B2" i="8"/>
  <c r="C2" i="7"/>
  <c r="V21" i="1" l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20" i="1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20" i="7"/>
  <c r="Q12" i="7" l="1"/>
  <c r="Q11" i="7"/>
  <c r="Q12" i="1"/>
  <c r="Q11" i="1"/>
  <c r="A136" i="7" l="1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Q10" i="7"/>
  <c r="Q9" i="7"/>
  <c r="Q8" i="7"/>
  <c r="Q7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20" i="7"/>
  <c r="A14" i="6"/>
  <c r="Q10" i="1"/>
  <c r="Q9" i="1"/>
  <c r="Q8" i="1"/>
  <c r="Q7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20" i="1"/>
  <c r="A2" i="6"/>
  <c r="A22" i="1" s="1"/>
  <c r="F49" i="1"/>
  <c r="I49" i="1"/>
  <c r="K49" i="1"/>
  <c r="M49" i="1"/>
  <c r="O49" i="1"/>
  <c r="Q49" i="1"/>
  <c r="F50" i="1"/>
  <c r="I50" i="1"/>
  <c r="K50" i="1"/>
  <c r="M50" i="1"/>
  <c r="O50" i="1"/>
  <c r="Q50" i="1"/>
  <c r="F51" i="1"/>
  <c r="I51" i="1"/>
  <c r="K51" i="1"/>
  <c r="M51" i="1"/>
  <c r="O51" i="1"/>
  <c r="Q51" i="1"/>
  <c r="F52" i="1"/>
  <c r="I52" i="1"/>
  <c r="K52" i="1"/>
  <c r="M52" i="1"/>
  <c r="O52" i="1"/>
  <c r="Q52" i="1"/>
  <c r="F53" i="1"/>
  <c r="I53" i="1"/>
  <c r="K53" i="1"/>
  <c r="M53" i="1"/>
  <c r="O53" i="1"/>
  <c r="Q53" i="1"/>
  <c r="F54" i="1"/>
  <c r="I54" i="1"/>
  <c r="K54" i="1"/>
  <c r="M54" i="1"/>
  <c r="O54" i="1"/>
  <c r="Q54" i="1"/>
  <c r="F55" i="1"/>
  <c r="I55" i="1"/>
  <c r="K55" i="1"/>
  <c r="M55" i="1"/>
  <c r="O55" i="1"/>
  <c r="Q55" i="1"/>
  <c r="F56" i="1"/>
  <c r="I56" i="1"/>
  <c r="K56" i="1"/>
  <c r="M56" i="1"/>
  <c r="O56" i="1"/>
  <c r="Q56" i="1"/>
  <c r="F57" i="1"/>
  <c r="I57" i="1"/>
  <c r="K57" i="1"/>
  <c r="M57" i="1"/>
  <c r="O57" i="1"/>
  <c r="Q57" i="1"/>
  <c r="F58" i="1"/>
  <c r="I58" i="1"/>
  <c r="K58" i="1"/>
  <c r="M58" i="1"/>
  <c r="O58" i="1"/>
  <c r="Q58" i="1"/>
  <c r="F59" i="1"/>
  <c r="I59" i="1"/>
  <c r="K59" i="1"/>
  <c r="M59" i="1"/>
  <c r="O59" i="1"/>
  <c r="Q59" i="1"/>
  <c r="F60" i="1"/>
  <c r="I60" i="1"/>
  <c r="K60" i="1"/>
  <c r="M60" i="1"/>
  <c r="O60" i="1"/>
  <c r="Q60" i="1"/>
  <c r="F61" i="1"/>
  <c r="I61" i="1"/>
  <c r="K61" i="1"/>
  <c r="M61" i="1"/>
  <c r="O61" i="1"/>
  <c r="Q61" i="1"/>
  <c r="F62" i="1"/>
  <c r="I62" i="1"/>
  <c r="K62" i="1"/>
  <c r="M62" i="1"/>
  <c r="O62" i="1"/>
  <c r="Q62" i="1"/>
  <c r="F63" i="1"/>
  <c r="I63" i="1"/>
  <c r="K63" i="1"/>
  <c r="M63" i="1"/>
  <c r="O63" i="1"/>
  <c r="Q63" i="1"/>
  <c r="F64" i="1"/>
  <c r="I64" i="1"/>
  <c r="K64" i="1"/>
  <c r="M64" i="1"/>
  <c r="O64" i="1"/>
  <c r="Q64" i="1"/>
  <c r="F65" i="1"/>
  <c r="I65" i="1"/>
  <c r="K65" i="1"/>
  <c r="M65" i="1"/>
  <c r="O65" i="1"/>
  <c r="Q65" i="1"/>
  <c r="F66" i="1"/>
  <c r="I66" i="1"/>
  <c r="K66" i="1"/>
  <c r="M66" i="1"/>
  <c r="O66" i="1"/>
  <c r="Q66" i="1"/>
  <c r="F67" i="1"/>
  <c r="I67" i="1"/>
  <c r="K67" i="1"/>
  <c r="M67" i="1"/>
  <c r="O67" i="1"/>
  <c r="Q67" i="1"/>
  <c r="F68" i="1"/>
  <c r="I68" i="1"/>
  <c r="K68" i="1"/>
  <c r="M68" i="1"/>
  <c r="O68" i="1"/>
  <c r="Q68" i="1"/>
  <c r="F69" i="1"/>
  <c r="I69" i="1"/>
  <c r="K69" i="1"/>
  <c r="M69" i="1"/>
  <c r="O69" i="1"/>
  <c r="Q69" i="1"/>
  <c r="F70" i="1"/>
  <c r="I70" i="1"/>
  <c r="K70" i="1"/>
  <c r="M70" i="1"/>
  <c r="O70" i="1"/>
  <c r="Q70" i="1"/>
  <c r="F71" i="1"/>
  <c r="I71" i="1"/>
  <c r="K71" i="1"/>
  <c r="M71" i="1"/>
  <c r="O71" i="1"/>
  <c r="Q71" i="1"/>
  <c r="F72" i="1"/>
  <c r="I72" i="1"/>
  <c r="K72" i="1"/>
  <c r="M72" i="1"/>
  <c r="O72" i="1"/>
  <c r="Q72" i="1"/>
  <c r="F73" i="1"/>
  <c r="I73" i="1"/>
  <c r="K73" i="1"/>
  <c r="M73" i="1"/>
  <c r="O73" i="1"/>
  <c r="Q73" i="1"/>
  <c r="F74" i="1"/>
  <c r="I74" i="1"/>
  <c r="K74" i="1"/>
  <c r="M74" i="1"/>
  <c r="O74" i="1"/>
  <c r="Q74" i="1"/>
  <c r="F75" i="1"/>
  <c r="I75" i="1"/>
  <c r="K75" i="1"/>
  <c r="M75" i="1"/>
  <c r="O75" i="1"/>
  <c r="Q75" i="1"/>
  <c r="F76" i="1"/>
  <c r="I76" i="1"/>
  <c r="K76" i="1"/>
  <c r="M76" i="1"/>
  <c r="O76" i="1"/>
  <c r="Q76" i="1"/>
  <c r="F77" i="1"/>
  <c r="I77" i="1"/>
  <c r="K77" i="1"/>
  <c r="M77" i="1"/>
  <c r="O77" i="1"/>
  <c r="Q77" i="1"/>
  <c r="F78" i="1"/>
  <c r="I78" i="1"/>
  <c r="K78" i="1"/>
  <c r="M78" i="1"/>
  <c r="O78" i="1"/>
  <c r="Q78" i="1"/>
  <c r="F79" i="1"/>
  <c r="I79" i="1"/>
  <c r="K79" i="1"/>
  <c r="M79" i="1"/>
  <c r="O79" i="1"/>
  <c r="Q79" i="1"/>
  <c r="F80" i="1"/>
  <c r="I80" i="1"/>
  <c r="K80" i="1"/>
  <c r="M80" i="1"/>
  <c r="O80" i="1"/>
  <c r="Q80" i="1"/>
  <c r="F81" i="1"/>
  <c r="I81" i="1"/>
  <c r="K81" i="1"/>
  <c r="M81" i="1"/>
  <c r="O81" i="1"/>
  <c r="Q81" i="1"/>
  <c r="F82" i="1"/>
  <c r="I82" i="1"/>
  <c r="K82" i="1"/>
  <c r="M82" i="1"/>
  <c r="O82" i="1"/>
  <c r="Q82" i="1"/>
  <c r="F83" i="1"/>
  <c r="I83" i="1"/>
  <c r="K83" i="1"/>
  <c r="M83" i="1"/>
  <c r="O83" i="1"/>
  <c r="Q83" i="1"/>
  <c r="F84" i="1"/>
  <c r="I84" i="1"/>
  <c r="K84" i="1"/>
  <c r="M84" i="1"/>
  <c r="O84" i="1"/>
  <c r="Q84" i="1"/>
  <c r="F85" i="1"/>
  <c r="I85" i="1"/>
  <c r="K85" i="1"/>
  <c r="M85" i="1"/>
  <c r="O85" i="1"/>
  <c r="Q85" i="1"/>
  <c r="F86" i="1"/>
  <c r="I86" i="1"/>
  <c r="K86" i="1"/>
  <c r="M86" i="1"/>
  <c r="O86" i="1"/>
  <c r="Q86" i="1"/>
  <c r="F87" i="1"/>
  <c r="I87" i="1"/>
  <c r="K87" i="1"/>
  <c r="M87" i="1"/>
  <c r="O87" i="1"/>
  <c r="Q87" i="1"/>
  <c r="F88" i="1"/>
  <c r="I88" i="1"/>
  <c r="K88" i="1"/>
  <c r="M88" i="1"/>
  <c r="O88" i="1"/>
  <c r="Q88" i="1"/>
  <c r="F89" i="1"/>
  <c r="I89" i="1"/>
  <c r="K89" i="1"/>
  <c r="M89" i="1"/>
  <c r="O89" i="1"/>
  <c r="Q89" i="1"/>
  <c r="F90" i="1"/>
  <c r="I90" i="1"/>
  <c r="K90" i="1"/>
  <c r="M90" i="1"/>
  <c r="O90" i="1"/>
  <c r="Q90" i="1"/>
  <c r="F91" i="1"/>
  <c r="I91" i="1"/>
  <c r="K91" i="1"/>
  <c r="M91" i="1"/>
  <c r="O91" i="1"/>
  <c r="Q91" i="1"/>
  <c r="F92" i="1"/>
  <c r="I92" i="1"/>
  <c r="K92" i="1"/>
  <c r="M92" i="1"/>
  <c r="O92" i="1"/>
  <c r="Q92" i="1"/>
  <c r="F93" i="1"/>
  <c r="I93" i="1"/>
  <c r="K93" i="1"/>
  <c r="M93" i="1"/>
  <c r="O93" i="1"/>
  <c r="Q93" i="1"/>
  <c r="F94" i="1"/>
  <c r="I94" i="1"/>
  <c r="K94" i="1"/>
  <c r="M94" i="1"/>
  <c r="O94" i="1"/>
  <c r="Q94" i="1"/>
  <c r="F95" i="1"/>
  <c r="I95" i="1"/>
  <c r="K95" i="1"/>
  <c r="M95" i="1"/>
  <c r="O95" i="1"/>
  <c r="Q95" i="1"/>
  <c r="F96" i="1"/>
  <c r="I96" i="1"/>
  <c r="K96" i="1"/>
  <c r="M96" i="1"/>
  <c r="O96" i="1"/>
  <c r="Q96" i="1"/>
  <c r="F97" i="1"/>
  <c r="I97" i="1"/>
  <c r="K97" i="1"/>
  <c r="M97" i="1"/>
  <c r="O97" i="1"/>
  <c r="Q97" i="1"/>
  <c r="F98" i="1"/>
  <c r="I98" i="1"/>
  <c r="K98" i="1"/>
  <c r="M98" i="1"/>
  <c r="O98" i="1"/>
  <c r="Q98" i="1"/>
  <c r="F99" i="1"/>
  <c r="I99" i="1"/>
  <c r="K99" i="1"/>
  <c r="M99" i="1"/>
  <c r="O99" i="1"/>
  <c r="Q99" i="1"/>
  <c r="F100" i="1"/>
  <c r="I100" i="1"/>
  <c r="K100" i="1"/>
  <c r="M100" i="1"/>
  <c r="O100" i="1"/>
  <c r="Q100" i="1"/>
  <c r="F101" i="1"/>
  <c r="I101" i="1"/>
  <c r="K101" i="1"/>
  <c r="M101" i="1"/>
  <c r="O101" i="1"/>
  <c r="Q101" i="1"/>
  <c r="F102" i="1"/>
  <c r="I102" i="1"/>
  <c r="K102" i="1"/>
  <c r="M102" i="1"/>
  <c r="O102" i="1"/>
  <c r="Q102" i="1"/>
  <c r="F103" i="1"/>
  <c r="I103" i="1"/>
  <c r="K103" i="1"/>
  <c r="M103" i="1"/>
  <c r="O103" i="1"/>
  <c r="Q103" i="1"/>
  <c r="F104" i="1"/>
  <c r="I104" i="1"/>
  <c r="K104" i="1"/>
  <c r="M104" i="1"/>
  <c r="O104" i="1"/>
  <c r="Q104" i="1"/>
  <c r="F105" i="1"/>
  <c r="I105" i="1"/>
  <c r="K105" i="1"/>
  <c r="M105" i="1"/>
  <c r="O105" i="1"/>
  <c r="Q105" i="1"/>
  <c r="F106" i="1"/>
  <c r="I106" i="1"/>
  <c r="K106" i="1"/>
  <c r="M106" i="1"/>
  <c r="O106" i="1"/>
  <c r="Q106" i="1"/>
  <c r="F107" i="1"/>
  <c r="I107" i="1"/>
  <c r="K107" i="1"/>
  <c r="M107" i="1"/>
  <c r="O107" i="1"/>
  <c r="Q107" i="1"/>
  <c r="F108" i="1"/>
  <c r="I108" i="1"/>
  <c r="K108" i="1"/>
  <c r="M108" i="1"/>
  <c r="O108" i="1"/>
  <c r="Q108" i="1"/>
  <c r="F109" i="1"/>
  <c r="I109" i="1"/>
  <c r="K109" i="1"/>
  <c r="M109" i="1"/>
  <c r="O109" i="1"/>
  <c r="Q109" i="1"/>
  <c r="F110" i="1"/>
  <c r="I110" i="1"/>
  <c r="K110" i="1"/>
  <c r="M110" i="1"/>
  <c r="O110" i="1"/>
  <c r="Q110" i="1"/>
  <c r="F111" i="1"/>
  <c r="I111" i="1"/>
  <c r="K111" i="1"/>
  <c r="M111" i="1"/>
  <c r="O111" i="1"/>
  <c r="Q111" i="1"/>
  <c r="F112" i="1"/>
  <c r="I112" i="1"/>
  <c r="K112" i="1"/>
  <c r="M112" i="1"/>
  <c r="O112" i="1"/>
  <c r="Q112" i="1"/>
  <c r="F113" i="1"/>
  <c r="I113" i="1"/>
  <c r="K113" i="1"/>
  <c r="M113" i="1"/>
  <c r="O113" i="1"/>
  <c r="Q113" i="1"/>
  <c r="F114" i="1"/>
  <c r="I114" i="1"/>
  <c r="K114" i="1"/>
  <c r="M114" i="1"/>
  <c r="O114" i="1"/>
  <c r="Q114" i="1"/>
  <c r="F115" i="1"/>
  <c r="I115" i="1"/>
  <c r="K115" i="1"/>
  <c r="M115" i="1"/>
  <c r="O115" i="1"/>
  <c r="Q115" i="1"/>
  <c r="F116" i="1"/>
  <c r="I116" i="1"/>
  <c r="K116" i="1"/>
  <c r="M116" i="1"/>
  <c r="O116" i="1"/>
  <c r="Q116" i="1"/>
  <c r="F117" i="1"/>
  <c r="I117" i="1"/>
  <c r="K117" i="1"/>
  <c r="M117" i="1"/>
  <c r="O117" i="1"/>
  <c r="Q117" i="1"/>
  <c r="F118" i="1"/>
  <c r="I118" i="1"/>
  <c r="K118" i="1"/>
  <c r="M118" i="1"/>
  <c r="O118" i="1"/>
  <c r="Q118" i="1"/>
  <c r="F119" i="1"/>
  <c r="I119" i="1"/>
  <c r="K119" i="1"/>
  <c r="M119" i="1"/>
  <c r="O119" i="1"/>
  <c r="Q119" i="1"/>
  <c r="F120" i="1"/>
  <c r="I120" i="1"/>
  <c r="K120" i="1"/>
  <c r="M120" i="1"/>
  <c r="O120" i="1"/>
  <c r="Q120" i="1"/>
  <c r="F121" i="1"/>
  <c r="I121" i="1"/>
  <c r="K121" i="1"/>
  <c r="M121" i="1"/>
  <c r="O121" i="1"/>
  <c r="Q121" i="1"/>
  <c r="F122" i="1"/>
  <c r="I122" i="1"/>
  <c r="K122" i="1"/>
  <c r="M122" i="1"/>
  <c r="O122" i="1"/>
  <c r="Q122" i="1"/>
  <c r="F123" i="1"/>
  <c r="I123" i="1"/>
  <c r="K123" i="1"/>
  <c r="M123" i="1"/>
  <c r="O123" i="1"/>
  <c r="Q123" i="1"/>
  <c r="F124" i="1"/>
  <c r="I124" i="1"/>
  <c r="K124" i="1"/>
  <c r="M124" i="1"/>
  <c r="O124" i="1"/>
  <c r="Q124" i="1"/>
  <c r="F125" i="1"/>
  <c r="I125" i="1"/>
  <c r="K125" i="1"/>
  <c r="M125" i="1"/>
  <c r="O125" i="1"/>
  <c r="Q125" i="1"/>
  <c r="F126" i="1"/>
  <c r="I126" i="1"/>
  <c r="K126" i="1"/>
  <c r="M126" i="1"/>
  <c r="O126" i="1"/>
  <c r="Q126" i="1"/>
  <c r="F127" i="1"/>
  <c r="I127" i="1"/>
  <c r="K127" i="1"/>
  <c r="M127" i="1"/>
  <c r="O127" i="1"/>
  <c r="Q127" i="1"/>
  <c r="F128" i="1"/>
  <c r="I128" i="1"/>
  <c r="K128" i="1"/>
  <c r="M128" i="1"/>
  <c r="O128" i="1"/>
  <c r="Q128" i="1"/>
  <c r="F129" i="1"/>
  <c r="I129" i="1"/>
  <c r="K129" i="1"/>
  <c r="M129" i="1"/>
  <c r="O129" i="1"/>
  <c r="Q129" i="1"/>
  <c r="F130" i="1"/>
  <c r="I130" i="1"/>
  <c r="K130" i="1"/>
  <c r="M130" i="1"/>
  <c r="O130" i="1"/>
  <c r="Q130" i="1"/>
  <c r="F131" i="1"/>
  <c r="I131" i="1"/>
  <c r="K131" i="1"/>
  <c r="M131" i="1"/>
  <c r="O131" i="1"/>
  <c r="Q131" i="1"/>
  <c r="F132" i="1"/>
  <c r="I132" i="1"/>
  <c r="K132" i="1"/>
  <c r="M132" i="1"/>
  <c r="O132" i="1"/>
  <c r="Q132" i="1"/>
  <c r="F133" i="1"/>
  <c r="I133" i="1"/>
  <c r="K133" i="1"/>
  <c r="M133" i="1"/>
  <c r="O133" i="1"/>
  <c r="Q133" i="1"/>
  <c r="F134" i="1"/>
  <c r="I134" i="1"/>
  <c r="K134" i="1"/>
  <c r="M134" i="1"/>
  <c r="O134" i="1"/>
  <c r="Q134" i="1"/>
  <c r="F135" i="1"/>
  <c r="I135" i="1"/>
  <c r="K135" i="1"/>
  <c r="M135" i="1"/>
  <c r="O135" i="1"/>
  <c r="Q135" i="1"/>
  <c r="F136" i="1"/>
  <c r="I136" i="1"/>
  <c r="K136" i="1"/>
  <c r="M136" i="1"/>
  <c r="O136" i="1"/>
  <c r="Q136" i="1"/>
  <c r="F22" i="1"/>
  <c r="I22" i="1"/>
  <c r="K22" i="1"/>
  <c r="M22" i="1"/>
  <c r="O22" i="1"/>
  <c r="Q22" i="1"/>
  <c r="F23" i="1"/>
  <c r="I23" i="1"/>
  <c r="K23" i="1"/>
  <c r="M23" i="1"/>
  <c r="O23" i="1"/>
  <c r="Q23" i="1"/>
  <c r="F24" i="1"/>
  <c r="I24" i="1"/>
  <c r="K24" i="1"/>
  <c r="M24" i="1"/>
  <c r="O24" i="1"/>
  <c r="Q24" i="1"/>
  <c r="F25" i="1"/>
  <c r="I25" i="1"/>
  <c r="K25" i="1"/>
  <c r="M25" i="1"/>
  <c r="O25" i="1"/>
  <c r="Q25" i="1"/>
  <c r="F26" i="1"/>
  <c r="I26" i="1"/>
  <c r="K26" i="1"/>
  <c r="M26" i="1"/>
  <c r="O26" i="1"/>
  <c r="Q26" i="1"/>
  <c r="F27" i="1"/>
  <c r="I27" i="1"/>
  <c r="K27" i="1"/>
  <c r="M27" i="1"/>
  <c r="O27" i="1"/>
  <c r="Q27" i="1"/>
  <c r="F28" i="1"/>
  <c r="I28" i="1"/>
  <c r="K28" i="1"/>
  <c r="M28" i="1"/>
  <c r="O28" i="1"/>
  <c r="Q28" i="1"/>
  <c r="F29" i="1"/>
  <c r="I29" i="1"/>
  <c r="K29" i="1"/>
  <c r="M29" i="1"/>
  <c r="O29" i="1"/>
  <c r="Q29" i="1"/>
  <c r="F30" i="1"/>
  <c r="I30" i="1"/>
  <c r="K30" i="1"/>
  <c r="M30" i="1"/>
  <c r="O30" i="1"/>
  <c r="Q30" i="1"/>
  <c r="F31" i="1"/>
  <c r="I31" i="1"/>
  <c r="K31" i="1"/>
  <c r="M31" i="1"/>
  <c r="O31" i="1"/>
  <c r="Q31" i="1"/>
  <c r="F32" i="1"/>
  <c r="I32" i="1"/>
  <c r="K32" i="1"/>
  <c r="M32" i="1"/>
  <c r="O32" i="1"/>
  <c r="Q32" i="1"/>
  <c r="F33" i="1"/>
  <c r="I33" i="1"/>
  <c r="K33" i="1"/>
  <c r="M33" i="1"/>
  <c r="O33" i="1"/>
  <c r="Q33" i="1"/>
  <c r="F34" i="1"/>
  <c r="I34" i="1"/>
  <c r="K34" i="1"/>
  <c r="M34" i="1"/>
  <c r="O34" i="1"/>
  <c r="Q34" i="1"/>
  <c r="F35" i="1"/>
  <c r="I35" i="1"/>
  <c r="K35" i="1"/>
  <c r="M35" i="1"/>
  <c r="O35" i="1"/>
  <c r="Q35" i="1"/>
  <c r="F36" i="1"/>
  <c r="I36" i="1"/>
  <c r="K36" i="1"/>
  <c r="M36" i="1"/>
  <c r="O36" i="1"/>
  <c r="Q36" i="1"/>
  <c r="F37" i="1"/>
  <c r="I37" i="1"/>
  <c r="K37" i="1"/>
  <c r="M37" i="1"/>
  <c r="O37" i="1"/>
  <c r="Q37" i="1"/>
  <c r="F38" i="1"/>
  <c r="I38" i="1"/>
  <c r="K38" i="1"/>
  <c r="M38" i="1"/>
  <c r="O38" i="1"/>
  <c r="Q38" i="1"/>
  <c r="F39" i="1"/>
  <c r="I39" i="1"/>
  <c r="K39" i="1"/>
  <c r="M39" i="1"/>
  <c r="O39" i="1"/>
  <c r="Q39" i="1"/>
  <c r="F40" i="1"/>
  <c r="I40" i="1"/>
  <c r="K40" i="1"/>
  <c r="M40" i="1"/>
  <c r="O40" i="1"/>
  <c r="Q40" i="1"/>
  <c r="F41" i="1"/>
  <c r="I41" i="1"/>
  <c r="K41" i="1"/>
  <c r="M41" i="1"/>
  <c r="O41" i="1"/>
  <c r="Q41" i="1"/>
  <c r="F42" i="1"/>
  <c r="I42" i="1"/>
  <c r="K42" i="1"/>
  <c r="M42" i="1"/>
  <c r="O42" i="1"/>
  <c r="Q42" i="1"/>
  <c r="F43" i="1"/>
  <c r="I43" i="1"/>
  <c r="K43" i="1"/>
  <c r="M43" i="1"/>
  <c r="O43" i="1"/>
  <c r="Q43" i="1"/>
  <c r="F44" i="1"/>
  <c r="I44" i="1"/>
  <c r="K44" i="1"/>
  <c r="M44" i="1"/>
  <c r="O44" i="1"/>
  <c r="Q44" i="1"/>
  <c r="F45" i="1"/>
  <c r="I45" i="1"/>
  <c r="K45" i="1"/>
  <c r="M45" i="1"/>
  <c r="O45" i="1"/>
  <c r="Q45" i="1"/>
  <c r="F46" i="1"/>
  <c r="I46" i="1"/>
  <c r="K46" i="1"/>
  <c r="M46" i="1"/>
  <c r="O46" i="1"/>
  <c r="Q46" i="1"/>
  <c r="F47" i="1"/>
  <c r="I47" i="1"/>
  <c r="K47" i="1"/>
  <c r="M47" i="1"/>
  <c r="O47" i="1"/>
  <c r="Q47" i="1"/>
  <c r="F48" i="1"/>
  <c r="I48" i="1"/>
  <c r="K48" i="1"/>
  <c r="M48" i="1"/>
  <c r="O48" i="1"/>
  <c r="Q48" i="1"/>
  <c r="F21" i="1"/>
  <c r="I21" i="1"/>
  <c r="K21" i="1"/>
  <c r="M21" i="1"/>
  <c r="O21" i="1"/>
  <c r="Q21" i="1"/>
  <c r="Q20" i="1"/>
  <c r="O20" i="1"/>
  <c r="M20" i="1"/>
  <c r="K20" i="1"/>
  <c r="I20" i="1"/>
  <c r="F20" i="1"/>
  <c r="A21" i="1" l="1"/>
  <c r="R22" i="7"/>
  <c r="R44" i="7"/>
  <c r="R21" i="1"/>
  <c r="R44" i="1"/>
  <c r="R42" i="1"/>
  <c r="R135" i="7"/>
  <c r="S135" i="7" s="1"/>
  <c r="R131" i="7"/>
  <c r="S131" i="7" s="1"/>
  <c r="R127" i="7"/>
  <c r="S127" i="7" s="1"/>
  <c r="R123" i="7"/>
  <c r="S123" i="7" s="1"/>
  <c r="R119" i="7"/>
  <c r="S119" i="7" s="1"/>
  <c r="R115" i="7"/>
  <c r="S115" i="7" s="1"/>
  <c r="R111" i="7"/>
  <c r="S111" i="7" s="1"/>
  <c r="R107" i="7"/>
  <c r="S107" i="7" s="1"/>
  <c r="R103" i="7"/>
  <c r="S103" i="7" s="1"/>
  <c r="R99" i="7"/>
  <c r="S99" i="7" s="1"/>
  <c r="R95" i="7"/>
  <c r="S95" i="7" s="1"/>
  <c r="R91" i="7"/>
  <c r="S91" i="7" s="1"/>
  <c r="R87" i="7"/>
  <c r="S87" i="7" s="1"/>
  <c r="R83" i="7"/>
  <c r="S83" i="7" s="1"/>
  <c r="R79" i="7"/>
  <c r="S79" i="7" s="1"/>
  <c r="R75" i="7"/>
  <c r="S75" i="7" s="1"/>
  <c r="R71" i="7"/>
  <c r="S71" i="7" s="1"/>
  <c r="R67" i="7"/>
  <c r="R63" i="7"/>
  <c r="R59" i="7"/>
  <c r="R55" i="7"/>
  <c r="R51" i="7"/>
  <c r="R47" i="7"/>
  <c r="R43" i="7"/>
  <c r="R39" i="7"/>
  <c r="R35" i="7"/>
  <c r="R31" i="7"/>
  <c r="R27" i="7"/>
  <c r="R23" i="7"/>
  <c r="R48" i="1"/>
  <c r="R46" i="1"/>
  <c r="R20" i="1"/>
  <c r="R47" i="1"/>
  <c r="R45" i="1"/>
  <c r="R43" i="1"/>
  <c r="R41" i="1"/>
  <c r="R39" i="1"/>
  <c r="R37" i="1"/>
  <c r="R35" i="1"/>
  <c r="R33" i="1"/>
  <c r="R31" i="1"/>
  <c r="R29" i="1"/>
  <c r="R27" i="1"/>
  <c r="R25" i="1"/>
  <c r="R23" i="1"/>
  <c r="R136" i="1"/>
  <c r="S136" i="1" s="1"/>
  <c r="R134" i="1"/>
  <c r="S134" i="1" s="1"/>
  <c r="R132" i="1"/>
  <c r="S132" i="1" s="1"/>
  <c r="R130" i="1"/>
  <c r="S130" i="1" s="1"/>
  <c r="R128" i="1"/>
  <c r="S128" i="1" s="1"/>
  <c r="R126" i="1"/>
  <c r="S126" i="1" s="1"/>
  <c r="R124" i="1"/>
  <c r="S124" i="1" s="1"/>
  <c r="R122" i="1"/>
  <c r="S122" i="1" s="1"/>
  <c r="R120" i="1"/>
  <c r="S120" i="1" s="1"/>
  <c r="R118" i="1"/>
  <c r="S118" i="1" s="1"/>
  <c r="R116" i="1"/>
  <c r="S116" i="1" s="1"/>
  <c r="R114" i="1"/>
  <c r="S114" i="1" s="1"/>
  <c r="R40" i="1"/>
  <c r="R38" i="1"/>
  <c r="R34" i="1"/>
  <c r="R30" i="1"/>
  <c r="R28" i="1"/>
  <c r="R26" i="1"/>
  <c r="R24" i="1"/>
  <c r="R135" i="1"/>
  <c r="S135" i="1" s="1"/>
  <c r="R133" i="1"/>
  <c r="S133" i="1" s="1"/>
  <c r="R131" i="1"/>
  <c r="S131" i="1" s="1"/>
  <c r="R129" i="1"/>
  <c r="S129" i="1" s="1"/>
  <c r="R127" i="1"/>
  <c r="S127" i="1" s="1"/>
  <c r="R125" i="1"/>
  <c r="S125" i="1" s="1"/>
  <c r="R123" i="1"/>
  <c r="S123" i="1" s="1"/>
  <c r="R121" i="1"/>
  <c r="S121" i="1" s="1"/>
  <c r="R119" i="1"/>
  <c r="S119" i="1" s="1"/>
  <c r="R117" i="1"/>
  <c r="S117" i="1" s="1"/>
  <c r="R115" i="1"/>
  <c r="S115" i="1" s="1"/>
  <c r="R113" i="1"/>
  <c r="S113" i="1" s="1"/>
  <c r="R111" i="1"/>
  <c r="S111" i="1" s="1"/>
  <c r="R109" i="1"/>
  <c r="S109" i="1" s="1"/>
  <c r="R107" i="1"/>
  <c r="S107" i="1" s="1"/>
  <c r="R105" i="1"/>
  <c r="S105" i="1" s="1"/>
  <c r="R103" i="1"/>
  <c r="S103" i="1" s="1"/>
  <c r="R101" i="1"/>
  <c r="S101" i="1" s="1"/>
  <c r="R99" i="1"/>
  <c r="S99" i="1" s="1"/>
  <c r="R97" i="1"/>
  <c r="S97" i="1" s="1"/>
  <c r="R95" i="1"/>
  <c r="S95" i="1" s="1"/>
  <c r="R93" i="1"/>
  <c r="S93" i="1" s="1"/>
  <c r="R91" i="1"/>
  <c r="S91" i="1" s="1"/>
  <c r="R89" i="1"/>
  <c r="S89" i="1" s="1"/>
  <c r="R87" i="1"/>
  <c r="S87" i="1" s="1"/>
  <c r="R85" i="1"/>
  <c r="S85" i="1" s="1"/>
  <c r="R83" i="1"/>
  <c r="S83" i="1" s="1"/>
  <c r="R81" i="1"/>
  <c r="S81" i="1" s="1"/>
  <c r="R79" i="1"/>
  <c r="S79" i="1" s="1"/>
  <c r="R77" i="1"/>
  <c r="S77" i="1" s="1"/>
  <c r="R75" i="1"/>
  <c r="S75" i="1" s="1"/>
  <c r="R73" i="1"/>
  <c r="S73" i="1" s="1"/>
  <c r="R71" i="1"/>
  <c r="S71" i="1" s="1"/>
  <c r="R69" i="1"/>
  <c r="R67" i="1"/>
  <c r="R65" i="1"/>
  <c r="R63" i="1"/>
  <c r="R61" i="1"/>
  <c r="R59" i="1"/>
  <c r="R57" i="1"/>
  <c r="R55" i="1"/>
  <c r="R53" i="1"/>
  <c r="R51" i="1"/>
  <c r="R49" i="1"/>
  <c r="A24" i="1"/>
  <c r="R20" i="7"/>
  <c r="R21" i="7"/>
  <c r="R134" i="7"/>
  <c r="S134" i="7" s="1"/>
  <c r="R130" i="7"/>
  <c r="S130" i="7" s="1"/>
  <c r="R126" i="7"/>
  <c r="S126" i="7" s="1"/>
  <c r="R122" i="7"/>
  <c r="S122" i="7" s="1"/>
  <c r="R118" i="7"/>
  <c r="S118" i="7" s="1"/>
  <c r="R114" i="7"/>
  <c r="S114" i="7" s="1"/>
  <c r="R110" i="7"/>
  <c r="S110" i="7" s="1"/>
  <c r="R106" i="7"/>
  <c r="S106" i="7" s="1"/>
  <c r="R102" i="7"/>
  <c r="S102" i="7" s="1"/>
  <c r="R98" i="7"/>
  <c r="S98" i="7" s="1"/>
  <c r="R94" i="7"/>
  <c r="S94" i="7" s="1"/>
  <c r="R90" i="7"/>
  <c r="S90" i="7" s="1"/>
  <c r="R86" i="7"/>
  <c r="S86" i="7" s="1"/>
  <c r="R82" i="7"/>
  <c r="S82" i="7" s="1"/>
  <c r="R78" i="7"/>
  <c r="S78" i="7" s="1"/>
  <c r="R74" i="7"/>
  <c r="S74" i="7" s="1"/>
  <c r="R70" i="7"/>
  <c r="S70" i="7" s="1"/>
  <c r="R66" i="7"/>
  <c r="R62" i="7"/>
  <c r="R58" i="7"/>
  <c r="R54" i="7"/>
  <c r="R50" i="7"/>
  <c r="R46" i="7"/>
  <c r="R42" i="7"/>
  <c r="R38" i="7"/>
  <c r="R34" i="7"/>
  <c r="R30" i="7"/>
  <c r="R26" i="7"/>
  <c r="R36" i="1"/>
  <c r="R32" i="1"/>
  <c r="R22" i="1"/>
  <c r="A23" i="1"/>
  <c r="A15" i="6"/>
  <c r="A16" i="6" s="1"/>
  <c r="R133" i="7"/>
  <c r="S133" i="7" s="1"/>
  <c r="R129" i="7"/>
  <c r="S129" i="7" s="1"/>
  <c r="R125" i="7"/>
  <c r="S125" i="7" s="1"/>
  <c r="R121" i="7"/>
  <c r="S121" i="7" s="1"/>
  <c r="R117" i="7"/>
  <c r="S117" i="7" s="1"/>
  <c r="R113" i="7"/>
  <c r="S113" i="7" s="1"/>
  <c r="R109" i="7"/>
  <c r="S109" i="7" s="1"/>
  <c r="R105" i="7"/>
  <c r="S105" i="7" s="1"/>
  <c r="R101" i="7"/>
  <c r="S101" i="7" s="1"/>
  <c r="R97" i="7"/>
  <c r="S97" i="7" s="1"/>
  <c r="R93" i="7"/>
  <c r="S93" i="7" s="1"/>
  <c r="R89" i="7"/>
  <c r="S89" i="7" s="1"/>
  <c r="R85" i="7"/>
  <c r="S85" i="7" s="1"/>
  <c r="R81" i="7"/>
  <c r="S81" i="7" s="1"/>
  <c r="R77" i="7"/>
  <c r="S77" i="7" s="1"/>
  <c r="R73" i="7"/>
  <c r="S73" i="7" s="1"/>
  <c r="R69" i="7"/>
  <c r="R65" i="7"/>
  <c r="R61" i="7"/>
  <c r="R57" i="7"/>
  <c r="R53" i="7"/>
  <c r="R49" i="7"/>
  <c r="R45" i="7"/>
  <c r="R41" i="7"/>
  <c r="R37" i="7"/>
  <c r="R33" i="7"/>
  <c r="R29" i="7"/>
  <c r="R25" i="7"/>
  <c r="R112" i="1"/>
  <c r="S112" i="1" s="1"/>
  <c r="R110" i="1"/>
  <c r="S110" i="1" s="1"/>
  <c r="R108" i="1"/>
  <c r="S108" i="1" s="1"/>
  <c r="R106" i="1"/>
  <c r="S106" i="1" s="1"/>
  <c r="R104" i="1"/>
  <c r="S104" i="1" s="1"/>
  <c r="R102" i="1"/>
  <c r="S102" i="1" s="1"/>
  <c r="R100" i="1"/>
  <c r="S100" i="1" s="1"/>
  <c r="R98" i="1"/>
  <c r="S98" i="1" s="1"/>
  <c r="R96" i="1"/>
  <c r="S96" i="1" s="1"/>
  <c r="R94" i="1"/>
  <c r="S94" i="1" s="1"/>
  <c r="R92" i="1"/>
  <c r="S92" i="1" s="1"/>
  <c r="R90" i="1"/>
  <c r="S90" i="1" s="1"/>
  <c r="R88" i="1"/>
  <c r="S88" i="1" s="1"/>
  <c r="R86" i="1"/>
  <c r="S86" i="1" s="1"/>
  <c r="R84" i="1"/>
  <c r="S84" i="1" s="1"/>
  <c r="R82" i="1"/>
  <c r="S82" i="1" s="1"/>
  <c r="R80" i="1"/>
  <c r="S80" i="1" s="1"/>
  <c r="R78" i="1"/>
  <c r="S78" i="1" s="1"/>
  <c r="R76" i="1"/>
  <c r="S76" i="1" s="1"/>
  <c r="R74" i="1"/>
  <c r="S74" i="1" s="1"/>
  <c r="R72" i="1"/>
  <c r="S72" i="1" s="1"/>
  <c r="R70" i="1"/>
  <c r="S70" i="1" s="1"/>
  <c r="R68" i="1"/>
  <c r="R66" i="1"/>
  <c r="R64" i="1"/>
  <c r="R62" i="1"/>
  <c r="R60" i="1"/>
  <c r="R58" i="1"/>
  <c r="R56" i="1"/>
  <c r="R54" i="1"/>
  <c r="R52" i="1"/>
  <c r="R50" i="1"/>
  <c r="R136" i="7"/>
  <c r="S136" i="7" s="1"/>
  <c r="R132" i="7"/>
  <c r="S132" i="7" s="1"/>
  <c r="R128" i="7"/>
  <c r="S128" i="7" s="1"/>
  <c r="R124" i="7"/>
  <c r="S124" i="7" s="1"/>
  <c r="R120" i="7"/>
  <c r="S120" i="7" s="1"/>
  <c r="R116" i="7"/>
  <c r="S116" i="7" s="1"/>
  <c r="R112" i="7"/>
  <c r="S112" i="7" s="1"/>
  <c r="R108" i="7"/>
  <c r="S108" i="7" s="1"/>
  <c r="R104" i="7"/>
  <c r="S104" i="7" s="1"/>
  <c r="R100" i="7"/>
  <c r="S100" i="7" s="1"/>
  <c r="R96" i="7"/>
  <c r="S96" i="7" s="1"/>
  <c r="R92" i="7"/>
  <c r="S92" i="7" s="1"/>
  <c r="R88" i="7"/>
  <c r="S88" i="7" s="1"/>
  <c r="R84" i="7"/>
  <c r="S84" i="7" s="1"/>
  <c r="R80" i="7"/>
  <c r="S80" i="7" s="1"/>
  <c r="R76" i="7"/>
  <c r="S76" i="7" s="1"/>
  <c r="R72" i="7"/>
  <c r="S72" i="7" s="1"/>
  <c r="R68" i="7"/>
  <c r="R64" i="7"/>
  <c r="R60" i="7"/>
  <c r="R56" i="7"/>
  <c r="R52" i="7"/>
  <c r="R48" i="7"/>
  <c r="R40" i="7"/>
  <c r="R36" i="7"/>
  <c r="R32" i="7"/>
  <c r="R28" i="7"/>
  <c r="R24" i="7"/>
  <c r="A21" i="7"/>
  <c r="A20" i="7"/>
  <c r="A24" i="7"/>
  <c r="A25" i="7"/>
  <c r="A3" i="6"/>
  <c r="S59" i="1" l="1"/>
  <c r="S64" i="1"/>
  <c r="S69" i="7"/>
  <c r="S69" i="1"/>
  <c r="S68" i="1"/>
  <c r="S54" i="1"/>
  <c r="S63" i="1"/>
  <c r="S49" i="1"/>
  <c r="S52" i="1"/>
  <c r="S62" i="1"/>
  <c r="S67" i="1"/>
  <c r="S58" i="1"/>
  <c r="S53" i="1"/>
  <c r="S48" i="1"/>
  <c r="S57" i="1"/>
  <c r="S61" i="1"/>
  <c r="S47" i="1"/>
  <c r="S66" i="1"/>
  <c r="S60" i="1"/>
  <c r="S51" i="1"/>
  <c r="S56" i="1"/>
  <c r="S46" i="1"/>
  <c r="S55" i="1"/>
  <c r="S50" i="1"/>
  <c r="S65" i="1"/>
  <c r="S45" i="1"/>
  <c r="S39" i="1"/>
  <c r="S44" i="1"/>
  <c r="S43" i="1"/>
  <c r="S42" i="1"/>
  <c r="S41" i="1"/>
  <c r="S40" i="1"/>
  <c r="S48" i="7"/>
  <c r="S57" i="7"/>
  <c r="S64" i="7"/>
  <c r="S45" i="7"/>
  <c r="S55" i="7"/>
  <c r="S54" i="7"/>
  <c r="S59" i="7"/>
  <c r="S58" i="7"/>
  <c r="S66" i="7"/>
  <c r="S61" i="7"/>
  <c r="S65" i="7"/>
  <c r="S53" i="7"/>
  <c r="S68" i="7"/>
  <c r="S62" i="7"/>
  <c r="S49" i="7"/>
  <c r="S50" i="7"/>
  <c r="S46" i="7"/>
  <c r="S47" i="7"/>
  <c r="S56" i="7"/>
  <c r="S44" i="7"/>
  <c r="S63" i="7"/>
  <c r="S51" i="7"/>
  <c r="S52" i="7"/>
  <c r="S67" i="7"/>
  <c r="S60" i="7"/>
  <c r="A4" i="6"/>
  <c r="A26" i="7"/>
  <c r="A23" i="7"/>
  <c r="S38" i="1"/>
  <c r="S33" i="7"/>
  <c r="S34" i="7"/>
  <c r="S38" i="7"/>
  <c r="S23" i="7"/>
  <c r="S24" i="7"/>
  <c r="S43" i="7"/>
  <c r="S29" i="7"/>
  <c r="S42" i="7"/>
  <c r="S27" i="7"/>
  <c r="S41" i="7"/>
  <c r="S37" i="7"/>
  <c r="S28" i="7"/>
  <c r="S22" i="7"/>
  <c r="S32" i="7"/>
  <c r="S40" i="7"/>
  <c r="S26" i="7"/>
  <c r="S21" i="7"/>
  <c r="S30" i="7"/>
  <c r="S20" i="7"/>
  <c r="S36" i="7"/>
  <c r="S39" i="7"/>
  <c r="S31" i="7"/>
  <c r="S35" i="7"/>
  <c r="S25" i="7"/>
  <c r="S24" i="1"/>
  <c r="S37" i="1"/>
  <c r="S33" i="1"/>
  <c r="S28" i="1"/>
  <c r="S23" i="1"/>
  <c r="S32" i="1"/>
  <c r="S36" i="1"/>
  <c r="S22" i="1"/>
  <c r="S27" i="1"/>
  <c r="S31" i="1"/>
  <c r="S29" i="1"/>
  <c r="S26" i="1"/>
  <c r="S35" i="1"/>
  <c r="S30" i="1"/>
  <c r="S21" i="1"/>
  <c r="S34" i="1"/>
  <c r="S25" i="1"/>
  <c r="S20" i="1"/>
  <c r="A27" i="7"/>
  <c r="A31" i="7"/>
  <c r="A29" i="7"/>
  <c r="A17" i="6"/>
  <c r="A18" i="6" s="1"/>
  <c r="A19" i="6" s="1"/>
  <c r="A32" i="7"/>
  <c r="A30" i="7"/>
  <c r="A28" i="7"/>
  <c r="A20" i="6" l="1"/>
  <c r="A48" i="7"/>
  <c r="A47" i="7"/>
  <c r="A46" i="7"/>
  <c r="A49" i="7"/>
  <c r="A45" i="7"/>
  <c r="A21" i="6"/>
  <c r="A52" i="7"/>
  <c r="A51" i="7"/>
  <c r="A54" i="7"/>
  <c r="A50" i="7"/>
  <c r="A53" i="7"/>
  <c r="A5" i="6"/>
  <c r="A22" i="7"/>
  <c r="A35" i="1"/>
  <c r="A37" i="1"/>
  <c r="A38" i="1"/>
  <c r="A26" i="1"/>
  <c r="A27" i="1"/>
  <c r="A28" i="1"/>
  <c r="A25" i="1"/>
  <c r="A29" i="1"/>
  <c r="A30" i="1"/>
  <c r="A34" i="1"/>
  <c r="A31" i="1"/>
  <c r="A32" i="1"/>
  <c r="A33" i="1"/>
  <c r="A37" i="7"/>
  <c r="A35" i="7"/>
  <c r="A33" i="7"/>
  <c r="A36" i="7"/>
  <c r="A34" i="7"/>
  <c r="A39" i="1" l="1"/>
  <c r="A36" i="1"/>
  <c r="A22" i="6"/>
  <c r="A56" i="7"/>
  <c r="A59" i="7"/>
  <c r="A55" i="7"/>
  <c r="A58" i="7"/>
  <c r="A57" i="7"/>
  <c r="A6" i="6"/>
  <c r="A43" i="7"/>
  <c r="A44" i="7"/>
  <c r="A39" i="7"/>
  <c r="A38" i="7"/>
  <c r="A41" i="7"/>
  <c r="A40" i="7"/>
  <c r="A42" i="7"/>
  <c r="A40" i="1" l="1"/>
  <c r="A44" i="1"/>
  <c r="A41" i="1"/>
  <c r="A42" i="1"/>
  <c r="A43" i="1"/>
  <c r="A23" i="6"/>
  <c r="A64" i="7"/>
  <c r="A60" i="7"/>
  <c r="A63" i="7"/>
  <c r="A62" i="7"/>
  <c r="A61" i="7"/>
  <c r="A7" i="6"/>
  <c r="A48" i="1" l="1"/>
  <c r="A45" i="1"/>
  <c r="A49" i="1"/>
  <c r="A46" i="1"/>
  <c r="A47" i="1"/>
  <c r="A68" i="7"/>
  <c r="A67" i="7"/>
  <c r="A66" i="7"/>
  <c r="A69" i="7"/>
  <c r="A65" i="7"/>
  <c r="A8" i="6"/>
  <c r="A52" i="1" l="1"/>
  <c r="A53" i="1"/>
  <c r="A50" i="1"/>
  <c r="A54" i="1"/>
  <c r="A51" i="1"/>
  <c r="C22" i="6"/>
  <c r="C19" i="6"/>
  <c r="D19" i="6" s="1"/>
  <c r="E19" i="6" s="1"/>
  <c r="F19" i="6" s="1"/>
  <c r="G19" i="6" s="1"/>
  <c r="C20" i="6"/>
  <c r="C15" i="6"/>
  <c r="D15" i="6" s="1"/>
  <c r="E15" i="6" s="1"/>
  <c r="F15" i="6" s="1"/>
  <c r="G15" i="6" s="1"/>
  <c r="H15" i="6" s="1"/>
  <c r="C14" i="6"/>
  <c r="D14" i="6" s="1"/>
  <c r="E14" i="6" s="1"/>
  <c r="F14" i="6" s="1"/>
  <c r="G14" i="6" s="1"/>
  <c r="H14" i="6" s="1"/>
  <c r="C16" i="6"/>
  <c r="C23" i="6"/>
  <c r="C18" i="6"/>
  <c r="C17" i="6"/>
  <c r="D17" i="6" s="1"/>
  <c r="E17" i="6" s="1"/>
  <c r="F17" i="6" s="1"/>
  <c r="G17" i="6" s="1"/>
  <c r="C21" i="6"/>
  <c r="A9" i="6"/>
  <c r="A56" i="1" l="1"/>
  <c r="A57" i="1"/>
  <c r="A58" i="1"/>
  <c r="A55" i="1"/>
  <c r="A59" i="1"/>
  <c r="H19" i="6"/>
  <c r="H17" i="6"/>
  <c r="D18" i="6"/>
  <c r="E18" i="6" s="1"/>
  <c r="F18" i="6" s="1"/>
  <c r="G18" i="6" s="1"/>
  <c r="D23" i="6"/>
  <c r="E23" i="6" s="1"/>
  <c r="F23" i="6" s="1"/>
  <c r="G23" i="6" s="1"/>
  <c r="D20" i="6"/>
  <c r="E20" i="6" s="1"/>
  <c r="F20" i="6" s="1"/>
  <c r="G20" i="6" s="1"/>
  <c r="D21" i="6"/>
  <c r="E21" i="6" s="1"/>
  <c r="F21" i="6" s="1"/>
  <c r="G21" i="6" s="1"/>
  <c r="D16" i="6"/>
  <c r="E16" i="6" s="1"/>
  <c r="F16" i="6" s="1"/>
  <c r="G16" i="6" s="1"/>
  <c r="D22" i="6"/>
  <c r="E22" i="6" s="1"/>
  <c r="F22" i="6" s="1"/>
  <c r="G22" i="6" s="1"/>
  <c r="A10" i="6"/>
  <c r="A60" i="1" l="1"/>
  <c r="A64" i="1"/>
  <c r="A61" i="1"/>
  <c r="A62" i="1"/>
  <c r="A63" i="1"/>
  <c r="H16" i="6"/>
  <c r="H20" i="6"/>
  <c r="H18" i="6"/>
  <c r="H22" i="6"/>
  <c r="H21" i="6"/>
  <c r="H23" i="6"/>
  <c r="A11" i="6"/>
  <c r="A68" i="1" l="1"/>
  <c r="A65" i="1"/>
  <c r="A69" i="1"/>
  <c r="C6" i="6" s="1"/>
  <c r="A66" i="1"/>
  <c r="C11" i="6" s="1"/>
  <c r="D11" i="6" s="1"/>
  <c r="E11" i="6" s="1"/>
  <c r="F11" i="6" s="1"/>
  <c r="G11" i="6" s="1"/>
  <c r="A67" i="1"/>
  <c r="C5" i="6"/>
  <c r="C7" i="6"/>
  <c r="C4" i="6"/>
  <c r="C9" i="6"/>
  <c r="D9" i="6" s="1"/>
  <c r="E9" i="6" s="1"/>
  <c r="F9" i="6" s="1"/>
  <c r="G9" i="6" s="1"/>
  <c r="I23" i="6"/>
  <c r="I19" i="6"/>
  <c r="I22" i="6"/>
  <c r="I18" i="6"/>
  <c r="I20" i="6"/>
  <c r="I21" i="6"/>
  <c r="I15" i="6"/>
  <c r="I17" i="6"/>
  <c r="I14" i="6"/>
  <c r="I16" i="6"/>
  <c r="C16" i="7" l="1"/>
  <c r="B17" i="8" s="1"/>
  <c r="C3" i="6"/>
  <c r="C10" i="6"/>
  <c r="D10" i="6" s="1"/>
  <c r="E10" i="6" s="1"/>
  <c r="F10" i="6" s="1"/>
  <c r="G10" i="6" s="1"/>
  <c r="C8" i="6"/>
  <c r="D5" i="6"/>
  <c r="E5" i="6" s="1"/>
  <c r="F5" i="6" s="1"/>
  <c r="G5" i="6" s="1"/>
  <c r="H9" i="6"/>
  <c r="D4" i="6"/>
  <c r="E4" i="6" s="1"/>
  <c r="F4" i="6" s="1"/>
  <c r="G4" i="6" s="1"/>
  <c r="D7" i="6"/>
  <c r="E7" i="6" s="1"/>
  <c r="F7" i="6" s="1"/>
  <c r="G7" i="6" s="1"/>
  <c r="D6" i="6"/>
  <c r="E6" i="6" s="1"/>
  <c r="F6" i="6" s="1"/>
  <c r="G6" i="6" s="1"/>
  <c r="C2" i="6"/>
  <c r="C10" i="7"/>
  <c r="C13" i="7"/>
  <c r="B14" i="8" s="1"/>
  <c r="C11" i="7"/>
  <c r="C7" i="7"/>
  <c r="C14" i="7"/>
  <c r="B15" i="8" s="1"/>
  <c r="C8" i="7"/>
  <c r="C12" i="7"/>
  <c r="B13" i="8" s="1"/>
  <c r="C15" i="7"/>
  <c r="B16" i="8" s="1"/>
  <c r="C9" i="7"/>
  <c r="H11" i="6"/>
  <c r="H10" i="6" l="1"/>
  <c r="H4" i="6"/>
  <c r="H7" i="6"/>
  <c r="H6" i="6"/>
  <c r="D8" i="6"/>
  <c r="E8" i="6" s="1"/>
  <c r="F8" i="6" s="1"/>
  <c r="G8" i="6" s="1"/>
  <c r="D2" i="6"/>
  <c r="E2" i="6" s="1"/>
  <c r="F2" i="6" s="1"/>
  <c r="G2" i="6" s="1"/>
  <c r="H5" i="6"/>
  <c r="D3" i="6"/>
  <c r="E3" i="6" s="1"/>
  <c r="F3" i="6" s="1"/>
  <c r="G3" i="6" s="1"/>
  <c r="O15" i="7"/>
  <c r="D16" i="8" s="1"/>
  <c r="E15" i="7"/>
  <c r="I15" i="7"/>
  <c r="M15" i="7"/>
  <c r="K15" i="7"/>
  <c r="G15" i="7"/>
  <c r="O12" i="7"/>
  <c r="D13" i="8" s="1"/>
  <c r="K12" i="7"/>
  <c r="E12" i="7"/>
  <c r="G12" i="7"/>
  <c r="I12" i="7"/>
  <c r="M12" i="7"/>
  <c r="O11" i="7"/>
  <c r="D12" i="8" s="1"/>
  <c r="B12" i="8"/>
  <c r="G11" i="7"/>
  <c r="M11" i="7"/>
  <c r="E11" i="7"/>
  <c r="K11" i="7"/>
  <c r="I11" i="7"/>
  <c r="B8" i="8"/>
  <c r="M8" i="7"/>
  <c r="E8" i="7"/>
  <c r="O8" i="7"/>
  <c r="D8" i="8" s="1"/>
  <c r="I8" i="7"/>
  <c r="K8" i="7"/>
  <c r="G8" i="7"/>
  <c r="K13" i="7"/>
  <c r="M13" i="7"/>
  <c r="G13" i="7"/>
  <c r="E13" i="7"/>
  <c r="O13" i="7"/>
  <c r="D14" i="8" s="1"/>
  <c r="I13" i="7"/>
  <c r="B9" i="8"/>
  <c r="E9" i="7"/>
  <c r="G9" i="7"/>
  <c r="O9" i="7"/>
  <c r="D9" i="8" s="1"/>
  <c r="I9" i="7"/>
  <c r="K9" i="7"/>
  <c r="M9" i="7"/>
  <c r="M14" i="7"/>
  <c r="O14" i="7"/>
  <c r="D15" i="8" s="1"/>
  <c r="I14" i="7"/>
  <c r="K14" i="7"/>
  <c r="G14" i="7"/>
  <c r="E14" i="7"/>
  <c r="O16" i="7"/>
  <c r="D17" i="8" s="1"/>
  <c r="E16" i="7"/>
  <c r="M16" i="7"/>
  <c r="I16" i="7"/>
  <c r="G16" i="7"/>
  <c r="K16" i="7"/>
  <c r="E7" i="7"/>
  <c r="I7" i="7"/>
  <c r="M7" i="7"/>
  <c r="K7" i="7"/>
  <c r="G7" i="7"/>
  <c r="B7" i="8"/>
  <c r="O7" i="7"/>
  <c r="D7" i="8" s="1"/>
  <c r="O10" i="7"/>
  <c r="D11" i="8" s="1"/>
  <c r="G10" i="7"/>
  <c r="E10" i="7"/>
  <c r="M10" i="7"/>
  <c r="K10" i="7"/>
  <c r="I10" i="7"/>
  <c r="B11" i="8"/>
  <c r="H3" i="6" l="1"/>
  <c r="H8" i="6"/>
  <c r="U11" i="7"/>
  <c r="U12" i="7"/>
  <c r="H2" i="6"/>
  <c r="U7" i="7"/>
  <c r="U9" i="7"/>
  <c r="U8" i="7"/>
  <c r="U10" i="7"/>
  <c r="I8" i="6" l="1"/>
  <c r="I11" i="6"/>
  <c r="I4" i="6"/>
  <c r="I7" i="6"/>
  <c r="I2" i="6"/>
  <c r="I9" i="6"/>
  <c r="I10" i="6"/>
  <c r="I6" i="6"/>
  <c r="I5" i="6"/>
  <c r="I3" i="6"/>
  <c r="C16" i="1" l="1"/>
  <c r="O16" i="1" s="1"/>
  <c r="C7" i="1"/>
  <c r="C9" i="1"/>
  <c r="C12" i="1"/>
  <c r="B28" i="8" s="1"/>
  <c r="C8" i="1"/>
  <c r="C10" i="1"/>
  <c r="C13" i="1"/>
  <c r="B29" i="8" s="1"/>
  <c r="C14" i="1"/>
  <c r="B30" i="8" s="1"/>
  <c r="C11" i="1"/>
  <c r="C15" i="1"/>
  <c r="B31" i="8" s="1"/>
  <c r="D32" i="8" l="1"/>
  <c r="B32" i="8"/>
  <c r="O11" i="1"/>
  <c r="D27" i="8" s="1"/>
  <c r="G11" i="1"/>
  <c r="E11" i="1"/>
  <c r="K11" i="1"/>
  <c r="M11" i="1"/>
  <c r="B27" i="8"/>
  <c r="I11" i="1"/>
  <c r="O10" i="1"/>
  <c r="D26" i="8" s="1"/>
  <c r="I10" i="1"/>
  <c r="E10" i="1"/>
  <c r="G10" i="1"/>
  <c r="B26" i="8"/>
  <c r="M10" i="1"/>
  <c r="K10" i="1"/>
  <c r="O14" i="1"/>
  <c r="D30" i="8" s="1"/>
  <c r="E14" i="1"/>
  <c r="M14" i="1"/>
  <c r="K14" i="1"/>
  <c r="I14" i="1"/>
  <c r="G14" i="1"/>
  <c r="K8" i="1"/>
  <c r="G8" i="1"/>
  <c r="E8" i="1"/>
  <c r="M8" i="1"/>
  <c r="B23" i="8"/>
  <c r="I8" i="1"/>
  <c r="O8" i="1"/>
  <c r="D23" i="8" s="1"/>
  <c r="B22" i="8"/>
  <c r="O7" i="1"/>
  <c r="D22" i="8" s="1"/>
  <c r="G7" i="1"/>
  <c r="K7" i="1"/>
  <c r="E7" i="1"/>
  <c r="M7" i="1"/>
  <c r="I7" i="1"/>
  <c r="O13" i="1"/>
  <c r="D29" i="8" s="1"/>
  <c r="E13" i="1"/>
  <c r="G13" i="1"/>
  <c r="I13" i="1"/>
  <c r="K13" i="1"/>
  <c r="M13" i="1"/>
  <c r="K12" i="1"/>
  <c r="G12" i="1"/>
  <c r="E12" i="1"/>
  <c r="I12" i="1"/>
  <c r="O12" i="1"/>
  <c r="D28" i="8" s="1"/>
  <c r="M12" i="1"/>
  <c r="I15" i="1"/>
  <c r="O15" i="1"/>
  <c r="D31" i="8" s="1"/>
  <c r="K15" i="1"/>
  <c r="G15" i="1"/>
  <c r="E15" i="1"/>
  <c r="M15" i="1"/>
  <c r="I16" i="1"/>
  <c r="K16" i="1"/>
  <c r="G16" i="1"/>
  <c r="M16" i="1"/>
  <c r="E16" i="1"/>
  <c r="O9" i="1"/>
  <c r="D24" i="8" s="1"/>
  <c r="E9" i="1"/>
  <c r="M9" i="1"/>
  <c r="K9" i="1"/>
  <c r="G9" i="1"/>
  <c r="I9" i="1"/>
  <c r="B24" i="8"/>
  <c r="U16" i="1" l="1"/>
  <c r="U13" i="1"/>
  <c r="U14" i="1"/>
  <c r="U15" i="1"/>
  <c r="U9" i="1"/>
  <c r="U7" i="1"/>
  <c r="U12" i="1"/>
  <c r="U8" i="1"/>
  <c r="U11" i="1"/>
  <c r="U10" i="1"/>
</calcChain>
</file>

<file path=xl/sharedStrings.xml><?xml version="1.0" encoding="utf-8"?>
<sst xmlns="http://schemas.openxmlformats.org/spreadsheetml/2006/main" count="301" uniqueCount="151">
  <si>
    <t>Příjmení a jméno</t>
  </si>
  <si>
    <t>Škola</t>
  </si>
  <si>
    <t>skok daleký</t>
  </si>
  <si>
    <t>skok vysoký</t>
  </si>
  <si>
    <t>vrh koulí</t>
  </si>
  <si>
    <t>hod míčkem</t>
  </si>
  <si>
    <t>Body</t>
  </si>
  <si>
    <t>Pořadí</t>
  </si>
  <si>
    <t>1. hodnota</t>
  </si>
  <si>
    <t>2. hodnota</t>
  </si>
  <si>
    <t>3. hodnota</t>
  </si>
  <si>
    <t>4. hodnota</t>
  </si>
  <si>
    <t>5. hodnota</t>
  </si>
  <si>
    <t>POŘADÍ ŠKOL</t>
  </si>
  <si>
    <t>1 hodnota</t>
  </si>
  <si>
    <t>CELKEM započ.</t>
  </si>
  <si>
    <t>POŘADÍ celkové</t>
  </si>
  <si>
    <t>POŘADÍ JEDNOTLIVCŮ</t>
  </si>
  <si>
    <t>Název školy</t>
  </si>
  <si>
    <t>BODY započ.</t>
  </si>
  <si>
    <t>POŘADÍ</t>
  </si>
  <si>
    <t>Škola - chlapci</t>
  </si>
  <si>
    <t>Škola - dívky</t>
  </si>
  <si>
    <t>1.</t>
  </si>
  <si>
    <t>2.</t>
  </si>
  <si>
    <t>3.</t>
  </si>
  <si>
    <t>4.</t>
  </si>
  <si>
    <t>5.</t>
  </si>
  <si>
    <t>POŘADÍ ŠKOL - chlapci</t>
  </si>
  <si>
    <t>POŘADÍ ŠKOL - dívky</t>
  </si>
  <si>
    <t>ATLETICKÝ ČTYŘBOJ 2019
- krajské kolo</t>
  </si>
  <si>
    <t>6.</t>
  </si>
  <si>
    <t>7.</t>
  </si>
  <si>
    <t>8.</t>
  </si>
  <si>
    <t>9.</t>
  </si>
  <si>
    <t>10.</t>
  </si>
  <si>
    <t>Řehůřková Lucie</t>
  </si>
  <si>
    <t>Gajdošová Eliška</t>
  </si>
  <si>
    <t>Havlenová Tereza</t>
  </si>
  <si>
    <t>Matějů Nikola</t>
  </si>
  <si>
    <t>Marešová Andrea</t>
  </si>
  <si>
    <t>Suchardová Veronika</t>
  </si>
  <si>
    <t>Krykorková Adéla</t>
  </si>
  <si>
    <t>Špicarová Zuzana</t>
  </si>
  <si>
    <t>Horníková Aněžka</t>
  </si>
  <si>
    <t>Plevová Barbora</t>
  </si>
  <si>
    <t>ZŠ Hradec Králové, Štefcova</t>
  </si>
  <si>
    <t>Soustružník Jakub</t>
  </si>
  <si>
    <t>Vítek Jan</t>
  </si>
  <si>
    <t>Rec Kryštof</t>
  </si>
  <si>
    <t>Havel Milan</t>
  </si>
  <si>
    <t>Sidor Adam</t>
  </si>
  <si>
    <t>Mandlík Václav</t>
  </si>
  <si>
    <t>ZŠ Nová Paka, Komenského</t>
  </si>
  <si>
    <t>Patka Daniel</t>
  </si>
  <si>
    <t>Bajer Daniel</t>
  </si>
  <si>
    <t>Kraus Šimon</t>
  </si>
  <si>
    <t>ZŠ Trutnov, Komenského</t>
  </si>
  <si>
    <t>Gymnázium, Trutnov</t>
  </si>
  <si>
    <t>Lepařovo gymnázium, Jičín</t>
  </si>
  <si>
    <t>Jiráskovo gymnázium, Náchod</t>
  </si>
  <si>
    <t>ZŠ Nové Město nad Metují</t>
  </si>
  <si>
    <t>Gymnázium, Dobruška</t>
  </si>
  <si>
    <t>ZŠ Rychnov nad Kněžnou, Javornická</t>
  </si>
  <si>
    <t>ZŠ Červený Kostelec, V. Hejny</t>
  </si>
  <si>
    <t>ZŠ Jičín, Železnická</t>
  </si>
  <si>
    <t>ZŠ a MŠ Hradec Králové, Kukleny</t>
  </si>
  <si>
    <t xml:space="preserve">Gymnázium, Dobruška </t>
  </si>
  <si>
    <t>ZŠ Vrchlabí, Školní</t>
  </si>
  <si>
    <t>ZŠ Sobotka</t>
  </si>
  <si>
    <t>Hampl Michal</t>
  </si>
  <si>
    <t>Svoboda Adam</t>
  </si>
  <si>
    <t>Antoš Jonáš</t>
  </si>
  <si>
    <t>Plecháč Jakub</t>
  </si>
  <si>
    <t>Paleček Zdeněk</t>
  </si>
  <si>
    <t>Markov Štěpán</t>
  </si>
  <si>
    <t>Jonák Pavel</t>
  </si>
  <si>
    <t>Vondráček Jakub</t>
  </si>
  <si>
    <t>Čuda Michal</t>
  </si>
  <si>
    <t>Müller Daniel</t>
  </si>
  <si>
    <t>Vejrek Adam</t>
  </si>
  <si>
    <t>Hejna Alexandr</t>
  </si>
  <si>
    <t>Škoda Filip</t>
  </si>
  <si>
    <t>Kopáček Adam</t>
  </si>
  <si>
    <t>Smolík František</t>
  </si>
  <si>
    <t>Tměj Adam</t>
  </si>
  <si>
    <t>Matějka Jiří</t>
  </si>
  <si>
    <t>Novák Dominik</t>
  </si>
  <si>
    <t>Borůvka Ondřej</t>
  </si>
  <si>
    <t>Svoboda Dominik</t>
  </si>
  <si>
    <t>Dostál Daniel</t>
  </si>
  <si>
    <t>Jahodka Jan</t>
  </si>
  <si>
    <t>Sedláček Kryštof</t>
  </si>
  <si>
    <t>Vlček Filip</t>
  </si>
  <si>
    <t>Paseka Štěpán</t>
  </si>
  <si>
    <t>Hladík Eliáš</t>
  </si>
  <si>
    <t>Vilímek Vít</t>
  </si>
  <si>
    <t>Horných Daniel</t>
  </si>
  <si>
    <t>Srnský Jakub</t>
  </si>
  <si>
    <t>Lahr Marek</t>
  </si>
  <si>
    <t>Dědek Jan</t>
  </si>
  <si>
    <t>Březina Jakub</t>
  </si>
  <si>
    <t>Zitová Sarah</t>
  </si>
  <si>
    <t>Burešová Aneta</t>
  </si>
  <si>
    <t>Vymetalová Klára</t>
  </si>
  <si>
    <t>Plecháčová Barbora</t>
  </si>
  <si>
    <t>Stolínová Doubravka</t>
  </si>
  <si>
    <t>Černá Karolína</t>
  </si>
  <si>
    <t>Kopecká Daniela</t>
  </si>
  <si>
    <t>Návratová Amálie</t>
  </si>
  <si>
    <t>Soukupová Hana</t>
  </si>
  <si>
    <t>Maixnerová Petra</t>
  </si>
  <si>
    <t>Urbanová Martina</t>
  </si>
  <si>
    <t>Kábrtová Veronika</t>
  </si>
  <si>
    <t>Špičáková Veronika</t>
  </si>
  <si>
    <t>Doležalová Eliška</t>
  </si>
  <si>
    <t>Synková Aneta</t>
  </si>
  <si>
    <t>Peikerová Lucie</t>
  </si>
  <si>
    <t>Lexová Eliška</t>
  </si>
  <si>
    <t>Kloučková Veronika</t>
  </si>
  <si>
    <t>Matulová Julie</t>
  </si>
  <si>
    <t>Krahulcová Tereza</t>
  </si>
  <si>
    <t>Hejcmanová Anna</t>
  </si>
  <si>
    <t>Bártová Viktorie</t>
  </si>
  <si>
    <t>Honcová Tereza</t>
  </si>
  <si>
    <t>Semecká Natálie</t>
  </si>
  <si>
    <t>Zahradníková Tereza</t>
  </si>
  <si>
    <t>ZŠ Rychnov nad Kněžnou, Masarykova</t>
  </si>
  <si>
    <t>Jůdlová Kateřina</t>
  </si>
  <si>
    <t>Morávková Zuzana</t>
  </si>
  <si>
    <t>Cejpková Karolína</t>
  </si>
  <si>
    <t>Čižinská Karolína</t>
  </si>
  <si>
    <t>ZŠ Náchod, Komenského</t>
  </si>
  <si>
    <t>Dodoš Matyáš</t>
  </si>
  <si>
    <t>Přibyl Lukáš</t>
  </si>
  <si>
    <t>Cvrkal Mikuláš</t>
  </si>
  <si>
    <t>Brdíčková Adéla</t>
  </si>
  <si>
    <t>Vlachová Natálie</t>
  </si>
  <si>
    <t>Malinová Barbora</t>
  </si>
  <si>
    <t>Mičánková Veronika</t>
  </si>
  <si>
    <t>Procházka Lukáš</t>
  </si>
  <si>
    <t>Nesládek Petr</t>
  </si>
  <si>
    <t>Svoboda Tomáš</t>
  </si>
  <si>
    <t>Hillebrant Jan</t>
  </si>
  <si>
    <t>Jelínková Natálie</t>
  </si>
  <si>
    <t>Honcová Adéla</t>
  </si>
  <si>
    <t>Červínková Lucie</t>
  </si>
  <si>
    <t>Mazuchová Natálie</t>
  </si>
  <si>
    <t>Zeman Martin</t>
  </si>
  <si>
    <t>Zeman Daniel</t>
  </si>
  <si>
    <t>Čtvrtečková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</si>
</sst>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&quot; m&quot;"/>
    <numFmt numFmtId="165" formatCode="#,##0&quot; bodů&quot;"/>
    <numFmt numFmtId="166" formatCode="#,##0.00&quot; s&quot;"/>
    <numFmt numFmtId="167" formatCode="#,##0&quot;:&quot;"/>
    <numFmt numFmtId="168" formatCode="#,##0&quot; cm&quot;"/>
    <numFmt numFmtId="169" formatCode="#,##0.00&quot; m&quot;"/>
    <numFmt numFmtId="170" formatCode="&quot;(&quot;#,##0&quot; b.)&quot;"/>
    <numFmt numFmtId="171" formatCode="#,##0&quot; b.&quot;"/>
    <numFmt numFmtId="172" formatCode="00.00"/>
  </numFmts>
  <fonts count="16" x14ac:knownFonts="1">
    <font>
      <sz val="11"/>
      <color theme="1"/>
      <name val="Cambria"/>
      <family val="2"/>
      <charset val="238"/>
    </font>
    <font>
      <sz val="11"/>
      <color theme="0"/>
      <name val="Cambria"/>
      <family val="2"/>
      <charset val="238"/>
    </font>
    <font>
      <i/>
      <sz val="5"/>
      <color theme="0" tint="-0.1499984740745262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002060"/>
      <name val="Cambria"/>
      <family val="1"/>
      <charset val="238"/>
    </font>
    <font>
      <sz val="11"/>
      <color theme="1"/>
      <name val="Cambria"/>
      <family val="1"/>
      <charset val="238"/>
    </font>
    <font>
      <i/>
      <vertAlign val="subscript"/>
      <sz val="9"/>
      <color theme="0" tint="-0.499984740745262"/>
      <name val="Cambria"/>
      <family val="1"/>
      <charset val="238"/>
    </font>
    <font>
      <i/>
      <vertAlign val="subscript"/>
      <sz val="9"/>
      <color theme="0" tint="-0.14999847407452621"/>
      <name val="Cambria"/>
      <family val="1"/>
      <charset val="238"/>
    </font>
    <font>
      <sz val="11"/>
      <color rgb="FF002060"/>
      <name val="Cambria"/>
      <family val="2"/>
      <charset val="238"/>
    </font>
    <font>
      <b/>
      <sz val="33"/>
      <color theme="1"/>
      <name val="Cambria"/>
      <family val="1"/>
      <charset val="238"/>
    </font>
    <font>
      <b/>
      <sz val="23"/>
      <color theme="1"/>
      <name val="Cambria"/>
      <family val="1"/>
      <charset val="238"/>
    </font>
    <font>
      <sz val="15"/>
      <color theme="1"/>
      <name val="Cambria"/>
      <family val="2"/>
      <charset val="238"/>
    </font>
    <font>
      <b/>
      <sz val="15"/>
      <color theme="1"/>
      <name val="Cambria"/>
      <family val="1"/>
      <charset val="238"/>
    </font>
    <font>
      <b/>
      <sz val="21"/>
      <color theme="1"/>
      <name val="Cambria"/>
      <family val="1"/>
      <charset val="238"/>
    </font>
    <font>
      <b/>
      <sz val="19"/>
      <color theme="1"/>
      <name val="Cambria"/>
      <family val="1"/>
      <charset val="238"/>
    </font>
    <font>
      <sz val="13"/>
      <color theme="1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right" vertical="top"/>
      <protection hidden="1"/>
    </xf>
    <xf numFmtId="0" fontId="2" fillId="4" borderId="0" xfId="0" applyFont="1" applyFill="1" applyAlignment="1" applyProtection="1">
      <alignment horizontal="right"/>
      <protection hidden="1"/>
    </xf>
    <xf numFmtId="170" fontId="6" fillId="4" borderId="0" xfId="0" applyNumberFormat="1" applyFont="1" applyFill="1" applyAlignment="1" applyProtection="1">
      <alignment horizontal="right" vertical="top"/>
      <protection hidden="1"/>
    </xf>
    <xf numFmtId="165" fontId="4" fillId="4" borderId="0" xfId="0" applyNumberFormat="1" applyFont="1" applyFill="1" applyProtection="1">
      <protection hidden="1"/>
    </xf>
    <xf numFmtId="0" fontId="4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167" fontId="5" fillId="0" borderId="0" xfId="0" applyNumberFormat="1" applyFont="1" applyFill="1" applyAlignment="1" applyProtection="1">
      <alignment horizontal="right"/>
      <protection locked="0"/>
    </xf>
    <xf numFmtId="0" fontId="1" fillId="6" borderId="0" xfId="0" applyFont="1" applyFill="1" applyProtection="1"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10" fillId="4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4" borderId="0" xfId="0" applyFill="1" applyAlignment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166" fontId="0" fillId="0" borderId="0" xfId="0" applyNumberFormat="1" applyFill="1" applyAlignment="1" applyProtection="1">
      <alignment horizontal="right"/>
      <protection locked="0"/>
    </xf>
    <xf numFmtId="168" fontId="0" fillId="0" borderId="0" xfId="0" applyNumberFormat="1" applyFill="1" applyAlignment="1" applyProtection="1">
      <alignment horizontal="right"/>
      <protection locked="0"/>
    </xf>
    <xf numFmtId="169" fontId="0" fillId="0" borderId="0" xfId="0" applyNumberFormat="1" applyFill="1" applyAlignment="1" applyProtection="1">
      <alignment horizontal="right"/>
      <protection locked="0"/>
    </xf>
    <xf numFmtId="0" fontId="4" fillId="4" borderId="0" xfId="0" applyFont="1" applyFill="1" applyAlignment="1" applyProtection="1">
      <alignment horizontal="center"/>
      <protection hidden="1"/>
    </xf>
    <xf numFmtId="165" fontId="0" fillId="4" borderId="0" xfId="0" applyNumberForma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9" borderId="0" xfId="0" applyFill="1" applyProtection="1">
      <protection hidden="1"/>
    </xf>
    <xf numFmtId="0" fontId="0" fillId="9" borderId="0" xfId="0" applyFill="1" applyAlignment="1" applyProtection="1">
      <alignment horizontal="center"/>
      <protection hidden="1"/>
    </xf>
    <xf numFmtId="0" fontId="7" fillId="9" borderId="0" xfId="0" applyFont="1" applyFill="1" applyAlignment="1" applyProtection="1">
      <alignment horizontal="right" vertical="top"/>
      <protection hidden="1"/>
    </xf>
    <xf numFmtId="0" fontId="2" fillId="9" borderId="0" xfId="0" applyFont="1" applyFill="1" applyAlignment="1" applyProtection="1">
      <alignment horizontal="right"/>
      <protection hidden="1"/>
    </xf>
    <xf numFmtId="0" fontId="10" fillId="9" borderId="0" xfId="0" applyFont="1" applyFill="1" applyProtection="1">
      <protection hidden="1"/>
    </xf>
    <xf numFmtId="0" fontId="0" fillId="9" borderId="0" xfId="0" applyFill="1" applyAlignment="1" applyProtection="1">
      <protection hidden="1"/>
    </xf>
    <xf numFmtId="0" fontId="0" fillId="9" borderId="0" xfId="0" applyFill="1" applyAlignment="1" applyProtection="1">
      <alignment vertical="center"/>
      <protection hidden="1"/>
    </xf>
    <xf numFmtId="165" fontId="0" fillId="9" borderId="0" xfId="0" applyNumberFormat="1" applyFill="1" applyAlignment="1" applyProtection="1">
      <alignment vertical="center"/>
      <protection hidden="1"/>
    </xf>
    <xf numFmtId="170" fontId="6" fillId="9" borderId="0" xfId="0" applyNumberFormat="1" applyFont="1" applyFill="1" applyAlignment="1" applyProtection="1">
      <alignment horizontal="right" vertical="top"/>
      <protection hidden="1"/>
    </xf>
    <xf numFmtId="165" fontId="4" fillId="9" borderId="0" xfId="0" applyNumberFormat="1" applyFont="1" applyFill="1" applyProtection="1">
      <protection hidden="1"/>
    </xf>
    <xf numFmtId="0" fontId="4" fillId="9" borderId="0" xfId="0" applyFont="1" applyFill="1" applyAlignment="1" applyProtection="1">
      <alignment horizontal="center"/>
      <protection hidden="1"/>
    </xf>
    <xf numFmtId="0" fontId="1" fillId="10" borderId="0" xfId="0" applyFont="1" applyFill="1" applyProtection="1">
      <protection hidden="1"/>
    </xf>
    <xf numFmtId="0" fontId="1" fillId="10" borderId="0" xfId="0" applyFont="1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right"/>
      <protection hidden="1"/>
    </xf>
    <xf numFmtId="0" fontId="0" fillId="5" borderId="0" xfId="0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right"/>
      <protection hidden="1"/>
    </xf>
    <xf numFmtId="165" fontId="0" fillId="7" borderId="0" xfId="0" applyNumberFormat="1" applyFill="1" applyAlignment="1" applyProtection="1">
      <protection hidden="1"/>
    </xf>
    <xf numFmtId="165" fontId="12" fillId="7" borderId="0" xfId="0" applyNumberFormat="1" applyFont="1" applyFill="1" applyAlignment="1" applyProtection="1">
      <protection hidden="1"/>
    </xf>
    <xf numFmtId="0" fontId="12" fillId="7" borderId="0" xfId="0" applyNumberFormat="1" applyFont="1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1" fillId="0" borderId="0" xfId="0" applyFont="1" applyFill="1" applyAlignment="1" applyProtection="1">
      <protection locked="0"/>
    </xf>
    <xf numFmtId="172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right" vertical="top"/>
      <protection hidden="1"/>
    </xf>
    <xf numFmtId="0" fontId="10" fillId="0" borderId="0" xfId="0" applyFont="1" applyFill="1" applyProtection="1"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Alignment="1" applyProtection="1">
      <alignment vertical="center"/>
      <protection hidden="1"/>
    </xf>
    <xf numFmtId="0" fontId="14" fillId="0" borderId="0" xfId="0" applyFont="1" applyFill="1" applyAlignment="1" applyProtection="1">
      <alignment horizontal="left" vertical="center"/>
      <protection hidden="1"/>
    </xf>
    <xf numFmtId="171" fontId="14" fillId="0" borderId="0" xfId="0" applyNumberFormat="1" applyFont="1" applyFill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protection hidden="1"/>
    </xf>
    <xf numFmtId="165" fontId="15" fillId="4" borderId="0" xfId="0" applyNumberFormat="1" applyFont="1" applyFill="1" applyAlignment="1" applyProtection="1">
      <alignment horizontal="center" vertical="center"/>
      <protection hidden="1"/>
    </xf>
    <xf numFmtId="171" fontId="14" fillId="4" borderId="0" xfId="0" applyNumberFormat="1" applyFont="1" applyFill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center"/>
      <protection hidden="1"/>
    </xf>
    <xf numFmtId="171" fontId="10" fillId="4" borderId="0" xfId="0" applyNumberFormat="1" applyFont="1" applyFill="1" applyAlignment="1" applyProtection="1">
      <alignment horizontal="center" vertical="center"/>
      <protection hidden="1"/>
    </xf>
    <xf numFmtId="171" fontId="13" fillId="4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14" fillId="4" borderId="0" xfId="0" applyFont="1" applyFill="1" applyAlignment="1" applyProtection="1">
      <alignment horizontal="left" vertical="center"/>
      <protection hidden="1"/>
    </xf>
    <xf numFmtId="0" fontId="0" fillId="8" borderId="0" xfId="0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 wrapText="1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hidden="1"/>
    </xf>
    <xf numFmtId="164" fontId="1" fillId="6" borderId="0" xfId="0" applyNumberFormat="1" applyFont="1" applyFill="1" applyAlignment="1" applyProtection="1">
      <alignment horizontal="center"/>
      <protection hidden="1"/>
    </xf>
    <xf numFmtId="165" fontId="15" fillId="9" borderId="0" xfId="0" applyNumberFormat="1" applyFont="1" applyFill="1" applyAlignment="1" applyProtection="1">
      <alignment horizontal="center" vertical="center"/>
      <protection hidden="1"/>
    </xf>
    <xf numFmtId="0" fontId="12" fillId="9" borderId="0" xfId="0" applyFont="1" applyFill="1" applyAlignment="1" applyProtection="1">
      <alignment horizontal="left"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171" fontId="12" fillId="9" borderId="0" xfId="0" applyNumberFormat="1" applyFont="1" applyFill="1" applyAlignment="1" applyProtection="1">
      <alignment horizontal="center" vertical="center"/>
      <protection hidden="1"/>
    </xf>
    <xf numFmtId="0" fontId="1" fillId="10" borderId="0" xfId="0" applyFont="1" applyFill="1" applyAlignment="1" applyProtection="1">
      <alignment horizontal="center"/>
      <protection hidden="1"/>
    </xf>
    <xf numFmtId="164" fontId="1" fillId="10" borderId="0" xfId="0" applyNumberFormat="1" applyFont="1" applyFill="1" applyAlignment="1" applyProtection="1">
      <alignment horizontal="center"/>
      <protection hidden="1"/>
    </xf>
    <xf numFmtId="171" fontId="14" fillId="9" borderId="0" xfId="0" applyNumberFormat="1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left" vertical="center"/>
      <protection hidden="1"/>
    </xf>
    <xf numFmtId="171" fontId="10" fillId="9" borderId="0" xfId="0" applyNumberFormat="1" applyFont="1" applyFill="1" applyAlignment="1" applyProtection="1">
      <alignment horizontal="center" vertical="center"/>
      <protection hidden="1"/>
    </xf>
    <xf numFmtId="0" fontId="13" fillId="9" borderId="0" xfId="0" applyFont="1" applyFill="1" applyAlignment="1" applyProtection="1">
      <alignment horizontal="left" vertical="center"/>
      <protection hidden="1"/>
    </xf>
    <xf numFmtId="171" fontId="13" fillId="9" borderId="0" xfId="0" applyNumberFormat="1" applyFont="1" applyFill="1" applyAlignment="1" applyProtection="1">
      <alignment horizontal="center" vertical="center"/>
      <protection hidden="1"/>
    </xf>
    <xf numFmtId="0" fontId="10" fillId="9" borderId="0" xfId="0" applyFont="1" applyFill="1" applyAlignment="1" applyProtection="1">
      <alignment horizontal="left" vertical="center"/>
      <protection hidden="1"/>
    </xf>
    <xf numFmtId="0" fontId="9" fillId="9" borderId="0" xfId="0" applyFont="1" applyFill="1" applyAlignment="1" applyProtection="1">
      <alignment horizontal="center" wrapText="1"/>
      <protection hidden="1"/>
    </xf>
    <xf numFmtId="0" fontId="9" fillId="9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171" fontId="12" fillId="0" borderId="0" xfId="0" applyNumberFormat="1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0" fillId="9" borderId="0" xfId="0" applyFill="1" applyAlignment="1" applyProtection="1">
      <alignment horizontal="left"/>
      <protection hidden="1"/>
    </xf>
    <xf numFmtId="0" fontId="3" fillId="9" borderId="0" xfId="0" applyFont="1" applyFill="1" applyAlignment="1" applyProtection="1">
      <alignment horizontal="center"/>
      <protection hidden="1"/>
    </xf>
    <xf numFmtId="0" fontId="0" fillId="9" borderId="0" xfId="0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171" fontId="10" fillId="0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left" vertical="center"/>
      <protection hidden="1"/>
    </xf>
    <xf numFmtId="171" fontId="13" fillId="0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left" vertical="center"/>
      <protection hidden="1"/>
    </xf>
    <xf numFmtId="171" fontId="14" fillId="0" borderId="0" xfId="0" applyNumberFormat="1" applyFont="1" applyFill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center"/>
      <protection hidden="1"/>
    </xf>
  </cellXfs>
  <cellStyles count="1">
    <cellStyle name="Normální" xfId="0" builtinId="0"/>
  </cellStyles>
  <dxfs count="23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microsoft.com/office/2007/relationships/hdphoto" Target="../media/hdphoto7.wdp"/><Relationship Id="rId5" Type="http://schemas.openxmlformats.org/officeDocument/2006/relationships/image" Target="../media/image9.png"/><Relationship Id="rId4" Type="http://schemas.microsoft.com/office/2007/relationships/hdphoto" Target="../media/hdphoto6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162577</xdr:colOff>
      <xdr:row>1</xdr:row>
      <xdr:rowOff>0</xdr:rowOff>
    </xdr:from>
    <xdr:to>
      <xdr:col>2</xdr:col>
      <xdr:colOff>1085850</xdr:colOff>
      <xdr:row>2</xdr:row>
      <xdr:rowOff>85725</xdr:rowOff>
    </xdr:to>
    <xdr:pic>
      <xdr:nvPicPr>
        <xdr:cNvPr id="2" name="irc_mi" descr="http://cdn.xl.thumbs.canstockphoto.cz/canstock898024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1138" t="2578" r="4924" b="22164"/>
        <a:stretch/>
      </xdr:blipFill>
      <xdr:spPr bwMode="auto">
        <a:xfrm>
          <a:off x="400702" y="0"/>
          <a:ext cx="923273" cy="1162050"/>
        </a:xfrm>
        <a:prstGeom prst="rect">
          <a:avLst/>
        </a:prstGeom>
        <a:noFill/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161926</xdr:colOff>
      <xdr:row>6</xdr:row>
      <xdr:rowOff>61994</xdr:rowOff>
    </xdr:from>
    <xdr:to>
      <xdr:col>17</xdr:col>
      <xdr:colOff>428626</xdr:colOff>
      <xdr:row>6</xdr:row>
      <xdr:rowOff>476250</xdr:rowOff>
    </xdr:to>
    <xdr:pic>
      <xdr:nvPicPr>
        <xdr:cNvPr id="4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61" b="89844" l="6055" r="5039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918" r="49567" b="10745"/>
        <a:stretch/>
      </xdr:blipFill>
      <xdr:spPr bwMode="auto">
        <a:xfrm>
          <a:off x="12515851" y="2052719"/>
          <a:ext cx="266700" cy="41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7</xdr:row>
      <xdr:rowOff>19049</xdr:rowOff>
    </xdr:from>
    <xdr:to>
      <xdr:col>17</xdr:col>
      <xdr:colOff>447675</xdr:colOff>
      <xdr:row>9</xdr:row>
      <xdr:rowOff>66674</xdr:rowOff>
    </xdr:to>
    <xdr:pic>
      <xdr:nvPicPr>
        <xdr:cNvPr id="5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7051" b="70020" l="71680" r="945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11144250" y="2543174"/>
          <a:ext cx="7715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228600</xdr:colOff>
      <xdr:row>7</xdr:row>
      <xdr:rowOff>304800</xdr:rowOff>
    </xdr:from>
    <xdr:to>
      <xdr:col>17</xdr:col>
      <xdr:colOff>666750</xdr:colOff>
      <xdr:row>10</xdr:row>
      <xdr:rowOff>28575</xdr:rowOff>
    </xdr:to>
    <xdr:pic>
      <xdr:nvPicPr>
        <xdr:cNvPr id="6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53613" b="100000" l="44043" r="7460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12839700" y="3009900"/>
          <a:ext cx="7715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76200</xdr:rowOff>
    </xdr:from>
    <xdr:to>
      <xdr:col>2</xdr:col>
      <xdr:colOff>1152525</xdr:colOff>
      <xdr:row>4</xdr:row>
      <xdr:rowOff>47625</xdr:rowOff>
    </xdr:to>
    <xdr:pic>
      <xdr:nvPicPr>
        <xdr:cNvPr id="2" name="irc_mi" descr="http://cdn.xl.thumbs.canstockphoto.cz/canstock898024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4772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73" t="1957" r="53765" b="-4976"/>
        <a:stretch/>
      </xdr:blipFill>
      <xdr:spPr bwMode="auto">
        <a:xfrm>
          <a:off x="485775" y="76200"/>
          <a:ext cx="904875" cy="1590675"/>
        </a:xfrm>
        <a:prstGeom prst="rect">
          <a:avLst/>
        </a:prstGeom>
        <a:noFill/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161926</xdr:colOff>
      <xdr:row>6</xdr:row>
      <xdr:rowOff>61994</xdr:rowOff>
    </xdr:from>
    <xdr:to>
      <xdr:col>17</xdr:col>
      <xdr:colOff>428626</xdr:colOff>
      <xdr:row>6</xdr:row>
      <xdr:rowOff>476250</xdr:rowOff>
    </xdr:to>
    <xdr:pic>
      <xdr:nvPicPr>
        <xdr:cNvPr id="3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61" b="89844" l="6055" r="5039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918" r="49567" b="10745"/>
        <a:stretch/>
      </xdr:blipFill>
      <xdr:spPr bwMode="auto">
        <a:xfrm>
          <a:off x="12363451" y="2233694"/>
          <a:ext cx="266700" cy="41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7</xdr:row>
      <xdr:rowOff>19049</xdr:rowOff>
    </xdr:from>
    <xdr:to>
      <xdr:col>17</xdr:col>
      <xdr:colOff>447675</xdr:colOff>
      <xdr:row>9</xdr:row>
      <xdr:rowOff>66674</xdr:rowOff>
    </xdr:to>
    <xdr:pic>
      <xdr:nvPicPr>
        <xdr:cNvPr id="4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7051" b="70020" l="71680" r="945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11877675" y="2724149"/>
          <a:ext cx="7715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228600</xdr:colOff>
      <xdr:row>7</xdr:row>
      <xdr:rowOff>266700</xdr:rowOff>
    </xdr:from>
    <xdr:to>
      <xdr:col>17</xdr:col>
      <xdr:colOff>666750</xdr:colOff>
      <xdr:row>9</xdr:row>
      <xdr:rowOff>314325</xdr:rowOff>
    </xdr:to>
    <xdr:pic>
      <xdr:nvPicPr>
        <xdr:cNvPr id="5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3613" b="100000" l="44043" r="7460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12096750" y="2971800"/>
          <a:ext cx="7715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6</xdr:row>
      <xdr:rowOff>14370</xdr:rowOff>
    </xdr:from>
    <xdr:to>
      <xdr:col>6</xdr:col>
      <xdr:colOff>466725</xdr:colOff>
      <xdr:row>6</xdr:row>
      <xdr:rowOff>357254</xdr:rowOff>
    </xdr:to>
    <xdr:pic>
      <xdr:nvPicPr>
        <xdr:cNvPr id="3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61" b="89844" l="6055" r="5039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918" r="49567" b="10745"/>
        <a:stretch/>
      </xdr:blipFill>
      <xdr:spPr bwMode="auto">
        <a:xfrm>
          <a:off x="5772150" y="2138445"/>
          <a:ext cx="257175" cy="34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573839</xdr:colOff>
      <xdr:row>6</xdr:row>
      <xdr:rowOff>333374</xdr:rowOff>
    </xdr:from>
    <xdr:to>
      <xdr:col>6</xdr:col>
      <xdr:colOff>466725</xdr:colOff>
      <xdr:row>9</xdr:row>
      <xdr:rowOff>9525</xdr:rowOff>
    </xdr:to>
    <xdr:pic>
      <xdr:nvPicPr>
        <xdr:cNvPr id="4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51" b="70020" l="71680" r="945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5450639" y="2457449"/>
          <a:ext cx="578686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7</xdr:row>
      <xdr:rowOff>84969</xdr:rowOff>
    </xdr:from>
    <xdr:to>
      <xdr:col>6</xdr:col>
      <xdr:colOff>619125</xdr:colOff>
      <xdr:row>10</xdr:row>
      <xdr:rowOff>3528</xdr:rowOff>
    </xdr:to>
    <xdr:pic>
      <xdr:nvPicPr>
        <xdr:cNvPr id="5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3613" b="100000" l="44043" r="7460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5629275" y="2580519"/>
          <a:ext cx="552450" cy="87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209550</xdr:colOff>
      <xdr:row>21</xdr:row>
      <xdr:rowOff>14370</xdr:rowOff>
    </xdr:from>
    <xdr:ext cx="257175" cy="342884"/>
    <xdr:pic>
      <xdr:nvPicPr>
        <xdr:cNvPr id="6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61" b="89844" l="6055" r="5039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918" r="49567" b="10745"/>
        <a:stretch/>
      </xdr:blipFill>
      <xdr:spPr bwMode="auto">
        <a:xfrm>
          <a:off x="5772150" y="2138445"/>
          <a:ext cx="257175" cy="34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573839</xdr:colOff>
      <xdr:row>21</xdr:row>
      <xdr:rowOff>333374</xdr:rowOff>
    </xdr:from>
    <xdr:ext cx="578686" cy="876301"/>
    <xdr:pic>
      <xdr:nvPicPr>
        <xdr:cNvPr id="7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51" b="70020" l="71680" r="945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5450639" y="2457449"/>
          <a:ext cx="578686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66675</xdr:colOff>
      <xdr:row>22</xdr:row>
      <xdr:rowOff>84969</xdr:rowOff>
    </xdr:from>
    <xdr:ext cx="552450" cy="871059"/>
    <xdr:pic>
      <xdr:nvPicPr>
        <xdr:cNvPr id="8" name="irc_mi" descr="http://img04.tooopen.com/images/20130819/tooopen_1839011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3613" b="100000" l="44043" r="7460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27" t="22311" r="4210" b="-33161"/>
        <a:stretch/>
      </xdr:blipFill>
      <xdr:spPr bwMode="auto">
        <a:xfrm>
          <a:off x="5629275" y="2609094"/>
          <a:ext cx="552450" cy="87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6"/>
  <sheetViews>
    <sheetView tabSelected="1" topLeftCell="B31" zoomScale="90" zoomScaleNormal="90" workbookViewId="0">
      <selection activeCell="G66" sqref="G66"/>
    </sheetView>
  </sheetViews>
  <sheetFormatPr defaultRowHeight="14.25" x14ac:dyDescent="0.2"/>
  <cols>
    <col min="1" max="1" width="1.875" style="1" hidden="1" customWidth="1"/>
    <col min="2" max="2" width="3.125" style="1" customWidth="1"/>
    <col min="3" max="3" width="30.25" style="1" customWidth="1"/>
    <col min="4" max="4" width="45.75" style="1" customWidth="1"/>
    <col min="5" max="5" width="7.5" style="2" customWidth="1"/>
    <col min="6" max="6" width="4.875" style="3" customWidth="1"/>
    <col min="7" max="7" width="6.875" style="4" customWidth="1"/>
    <col min="8" max="8" width="5.75" style="2" customWidth="1"/>
    <col min="9" max="9" width="5.125" style="3" customWidth="1"/>
    <col min="10" max="10" width="10.5" style="2" customWidth="1"/>
    <col min="11" max="11" width="4.375" style="3" customWidth="1"/>
    <col min="12" max="12" width="10.5" style="2" customWidth="1"/>
    <col min="13" max="13" width="4.375" style="3" customWidth="1"/>
    <col min="14" max="14" width="10.5" style="2" customWidth="1"/>
    <col min="15" max="15" width="4.375" style="3" customWidth="1"/>
    <col min="16" max="16" width="11.625" style="2" customWidth="1"/>
    <col min="17" max="17" width="4.375" style="3" customWidth="1"/>
    <col min="18" max="18" width="11.375" style="1" customWidth="1"/>
    <col min="19" max="19" width="6" style="1" customWidth="1"/>
    <col min="20" max="20" width="3.375" style="1" customWidth="1"/>
    <col min="21" max="21" width="9" style="1" customWidth="1"/>
    <col min="22" max="16384" width="9" style="1"/>
  </cols>
  <sheetData>
    <row r="2" spans="3:21" ht="84.75" customHeight="1" x14ac:dyDescent="0.55000000000000004">
      <c r="C2" s="71" t="s">
        <v>30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5" spans="3:21" ht="29.25" x14ac:dyDescent="0.4">
      <c r="C5" s="12" t="s">
        <v>13</v>
      </c>
    </row>
    <row r="6" spans="3:21" x14ac:dyDescent="0.2">
      <c r="C6" s="66" t="s">
        <v>18</v>
      </c>
      <c r="D6" s="66"/>
      <c r="E6" s="70" t="s">
        <v>8</v>
      </c>
      <c r="F6" s="70"/>
      <c r="G6" s="70" t="s">
        <v>9</v>
      </c>
      <c r="H6" s="70"/>
      <c r="I6" s="70" t="s">
        <v>10</v>
      </c>
      <c r="J6" s="70"/>
      <c r="K6" s="70" t="s">
        <v>11</v>
      </c>
      <c r="L6" s="70"/>
      <c r="M6" s="70" t="s">
        <v>12</v>
      </c>
      <c r="N6" s="70"/>
      <c r="O6" s="63" t="s">
        <v>19</v>
      </c>
      <c r="P6" s="63"/>
      <c r="Q6" s="70" t="s">
        <v>20</v>
      </c>
      <c r="R6" s="70"/>
      <c r="S6" s="15"/>
    </row>
    <row r="7" spans="3:21" s="16" customFormat="1" ht="42" customHeight="1" x14ac:dyDescent="0.2">
      <c r="C7" s="67" t="str">
        <f ca="1">IF(OR(SUM($R$20:$R$2314)=0,Q7="",SUMIF('Číselník škol'!$I$2:$I$11,VALUE(LEFT(Q7,1)),'Číselník škol'!$A$2:$A$11)=0),"",LOOKUP(SUMIF('Číselník škol'!$I$2:$I$11,VALUE(LEFT(Q7,1)),'Číselník škol'!$A$2:$A$11),'Číselník škol'!$A$2:$A$11,'Číselník škol'!$B$2:$B$11))</f>
        <v>ZŠ a MŠ Hradec Králové, Kukleny</v>
      </c>
      <c r="D7" s="67"/>
      <c r="E7" s="59">
        <f ca="1">IF(OR($C7="",SUM($R$20:$R$12714)=0),"",SUMIF('Číselník škol'!$B$2:$B$11,$C7,'Číselník škol'!C$2:C$11))</f>
        <v>2020</v>
      </c>
      <c r="F7" s="59"/>
      <c r="G7" s="59">
        <f ca="1">IF(OR($C7="",SUM($R$20:$R$17114)=0),"",SUMIF('Číselník škol'!$B$2:$B$11,$C7,'Číselník škol'!D$2:D$11))</f>
        <v>1767</v>
      </c>
      <c r="H7" s="59"/>
      <c r="I7" s="59">
        <f ca="1">IF(OR($C7="",SUM($R$20:$R$17114)=0),"",SUMIF('Číselník škol'!$B$2:$B$11,$C7,'Číselník škol'!E$2:E$11))</f>
        <v>1585</v>
      </c>
      <c r="J7" s="59"/>
      <c r="K7" s="59">
        <f ca="1">IF(OR($C7="",SUM($R$20:$R$17114)=0),"",SUMIF('Číselník škol'!$B$2:$B$11,$C7,'Číselník škol'!F$2:F$11))</f>
        <v>1691</v>
      </c>
      <c r="L7" s="59"/>
      <c r="M7" s="59">
        <f ca="1">IF(OR($C7="",SUM($R$20:$R$17114)=0),"",SUMIF('Číselník škol'!$B$2:$B$11,$C7,'Číselník škol'!G$2:G$11))</f>
        <v>1711</v>
      </c>
      <c r="N7" s="59"/>
      <c r="O7" s="64">
        <f ca="1">IF(OR($C7="",SUM($R$20:$R$17114)=0),"",SUMIF('Číselník škol'!$B$2:$B$11,$C7,'Číselník škol'!H$2:H$11))</f>
        <v>7189</v>
      </c>
      <c r="P7" s="64"/>
      <c r="Q7" s="61" t="str">
        <f>IF(COUNTA('Číselník škol'!$B$2:$B$11)&gt;=1,"1.","")</f>
        <v>1.</v>
      </c>
      <c r="R7" s="61"/>
      <c r="T7" s="1"/>
      <c r="U7" s="21">
        <f ca="1">MIN(E7:N7)</f>
        <v>1585</v>
      </c>
    </row>
    <row r="8" spans="3:21" s="16" customFormat="1" ht="42" customHeight="1" x14ac:dyDescent="0.2">
      <c r="C8" s="68" t="str">
        <f ca="1">IF(OR(SUM($R$20:$R$2314)=0,Q8="",SUMIF('Číselník škol'!$I$2:$I$11,VALUE(LEFT(Q8,1)),'Číselník škol'!$A$2:$A$11)=0),"",LOOKUP(SUMIF('Číselník škol'!$I$2:$I$11,VALUE(LEFT(Q8,1)),'Číselník škol'!$A$2:$A$11),'Číselník škol'!$A$2:$A$11,'Číselník škol'!$B$2:$B$11))</f>
        <v>ZŠ Hradec Králové, Štefcova</v>
      </c>
      <c r="D8" s="68"/>
      <c r="E8" s="59">
        <f ca="1">IF(OR($C8="",SUM($R$20:$R$17114)=0),"",SUMIF('Číselník škol'!$B$2:$B$11,$C8,'Číselník škol'!C$2:C$11))</f>
        <v>1517</v>
      </c>
      <c r="F8" s="59"/>
      <c r="G8" s="59">
        <f ca="1">IF(OR($C8="",SUM($R$20:$R$17114)=0),"",SUMIF('Číselník škol'!$B$2:$B$11,$C8,'Číselník škol'!D$2:D$11))</f>
        <v>1869</v>
      </c>
      <c r="H8" s="59"/>
      <c r="I8" s="59">
        <f ca="1">IF(OR($C8="",SUM($R$20:$R$17114)=0),"",SUMIF('Číselník škol'!$B$2:$B$11,$C8,'Číselník škol'!E$2:E$11))</f>
        <v>1903</v>
      </c>
      <c r="J8" s="59"/>
      <c r="K8" s="59">
        <f ca="1">IF(OR($C8="",SUM($R$20:$R$17114)=0),"",SUMIF('Číselník škol'!$B$2:$B$11,$C8,'Číselník škol'!F$2:F$11))</f>
        <v>1615</v>
      </c>
      <c r="L8" s="59"/>
      <c r="M8" s="59">
        <f ca="1">IF(OR($C8="",SUM($R$20:$R$17114)=0),"",SUMIF('Číselník škol'!$B$2:$B$11,$C8,'Číselník škol'!G$2:G$11))</f>
        <v>1664</v>
      </c>
      <c r="N8" s="59"/>
      <c r="O8" s="65">
        <f ca="1">IF(OR($C8="",SUM($R$20:$R$17114)=0),"",SUMIF('Číselník škol'!$B$2:$B$11,$C8,'Číselník škol'!H$2:H$11))</f>
        <v>7051</v>
      </c>
      <c r="P8" s="65"/>
      <c r="Q8" s="61" t="str">
        <f>IF(COUNTA('Číselník škol'!$B$2:$B$11)&gt;=2,"2.","")</f>
        <v>2.</v>
      </c>
      <c r="R8" s="61"/>
      <c r="T8" s="1"/>
      <c r="U8" s="21">
        <f t="shared" ref="U8:U16" ca="1" si="0">MIN(E8:N8)</f>
        <v>1517</v>
      </c>
    </row>
    <row r="9" spans="3:21" s="16" customFormat="1" ht="42" customHeight="1" x14ac:dyDescent="0.2">
      <c r="C9" s="69" t="str">
        <f ca="1">IF(OR(SUM($R$20:$R$2314)=0,Q9="",SUMIF('Číselník škol'!$I$2:$I$11,VALUE(LEFT(Q9,1)),'Číselník škol'!$A$2:$A$11)=0),"",LOOKUP(SUMIF('Číselník škol'!$I$2:$I$11,VALUE(LEFT(Q9,1)),'Číselník škol'!$A$2:$A$11),'Číselník škol'!$A$2:$A$11,'Číselník škol'!$B$2:$B$11))</f>
        <v>ZŠ Červený Kostelec, V. Hejny</v>
      </c>
      <c r="D9" s="69"/>
      <c r="E9" s="59">
        <f ca="1">IF($C9="","",SUMIF('Číselník škol'!$B$2:$B$11,$C9,'Číselník škol'!C$2:C$11))</f>
        <v>2172</v>
      </c>
      <c r="F9" s="59"/>
      <c r="G9" s="59">
        <f ca="1">IF($C9="","",SUMIF('Číselník škol'!$B$2:$B$11,$C9,'Číselník škol'!D$2:D$11))</f>
        <v>1252</v>
      </c>
      <c r="H9" s="59"/>
      <c r="I9" s="59">
        <f ca="1">IF($C9="","",SUMIF('Číselník škol'!$B$2:$B$11,$C9,'Číselník škol'!E$2:E$11))</f>
        <v>1783</v>
      </c>
      <c r="J9" s="59"/>
      <c r="K9" s="59">
        <f ca="1">IF($C9="","",SUMIF('Číselník škol'!$B$2:$B$11,$C9,'Číselník škol'!F$2:F$11))</f>
        <v>1482</v>
      </c>
      <c r="L9" s="59"/>
      <c r="M9" s="59">
        <f ca="1">IF($C9="","",SUMIF('Číselník škol'!$B$2:$B$11,$C9,'Číselník škol'!G$2:G$11))</f>
        <v>1540</v>
      </c>
      <c r="N9" s="59"/>
      <c r="O9" s="60">
        <f ca="1">IF($C9="","",SUMIF('Číselník škol'!$B$2:$B$11,$C9,'Číselník škol'!H$2:H$11))</f>
        <v>6977</v>
      </c>
      <c r="P9" s="60"/>
      <c r="Q9" s="61" t="str">
        <f>IF(COUNTA('Číselník škol'!$B$2:$B$11)&gt;=3,"3.","")</f>
        <v>3.</v>
      </c>
      <c r="R9" s="61"/>
      <c r="T9" s="1"/>
      <c r="U9" s="21">
        <f t="shared" ca="1" si="0"/>
        <v>1252</v>
      </c>
    </row>
    <row r="10" spans="3:21" s="16" customFormat="1" ht="25.5" customHeight="1" x14ac:dyDescent="0.2">
      <c r="C10" s="62" t="str">
        <f ca="1">IF(OR(SUM($R$20:$R$2314)=0,Q10="",SUMIF('Číselník škol'!$I$2:$I$11,VALUE(LEFT(Q10,1)),'Číselník škol'!$A$2:$A$11)=0),"",LOOKUP(SUMIF('Číselník škol'!$I$2:$I$11,VALUE(LEFT(Q10,1)),'Číselník škol'!$A$2:$A$11),'Číselník škol'!$A$2:$A$11,'Číselník škol'!$B$2:$B$11))</f>
        <v>ZŠ Trutnov, Komenského</v>
      </c>
      <c r="D10" s="62"/>
      <c r="E10" s="59">
        <f ca="1">IF($C10="","",SUMIF('Číselník škol'!$B$2:$B$11,$C10,'Číselník škol'!C$2:C$11))</f>
        <v>1221</v>
      </c>
      <c r="F10" s="59"/>
      <c r="G10" s="59">
        <f ca="1">IF($C10="","",SUMIF('Číselník škol'!$B$2:$B$11,$C10,'Číselník škol'!D$2:D$11))</f>
        <v>1666</v>
      </c>
      <c r="H10" s="59"/>
      <c r="I10" s="59">
        <f ca="1">IF($C10="","",SUMIF('Číselník škol'!$B$2:$B$11,$C10,'Číselník škol'!E$2:E$11))</f>
        <v>1417</v>
      </c>
      <c r="J10" s="59"/>
      <c r="K10" s="59">
        <f ca="1">IF($C10="","",SUMIF('Číselník škol'!$B$2:$B$11,$C10,'Číselník škol'!F$2:F$11))</f>
        <v>1862</v>
      </c>
      <c r="L10" s="59"/>
      <c r="M10" s="59">
        <f ca="1">IF($C10="","",SUMIF('Číselník škol'!$B$2:$B$11,$C10,'Číselník škol'!G$2:G$11))</f>
        <v>1793</v>
      </c>
      <c r="N10" s="59"/>
      <c r="O10" s="60">
        <f ca="1">IF($C10="","",SUMIF('Číselník škol'!$B$2:$B$11,$C10,'Číselník škol'!H$2:H$11))</f>
        <v>6738</v>
      </c>
      <c r="P10" s="60"/>
      <c r="Q10" s="61" t="str">
        <f>IF(COUNTA('Číselník škol'!$B$2:$B$11)&gt;=4,"4.","")</f>
        <v>4.</v>
      </c>
      <c r="R10" s="61"/>
      <c r="T10" s="1"/>
      <c r="U10" s="21">
        <f t="shared" ca="1" si="0"/>
        <v>1221</v>
      </c>
    </row>
    <row r="11" spans="3:21" s="16" customFormat="1" ht="25.5" customHeight="1" x14ac:dyDescent="0.2">
      <c r="C11" s="62" t="str">
        <f ca="1">IF(OR(SUM($R$20:$R$2314)=0,Q11="",SUMIF('Číselník škol'!$I$2:$I$11,VALUE(LEFT(Q11,1)),'Číselník škol'!$A$2:$A$11)=0),"",LOOKUP(SUMIF('Číselník škol'!$I$2:$I$11,VALUE(LEFT(Q11,1)),'Číselník škol'!$A$2:$A$11),'Číselník škol'!$A$2:$A$11,'Číselník škol'!$B$2:$B$11))</f>
        <v>ZŠ Jičín, Železnická</v>
      </c>
      <c r="D11" s="62"/>
      <c r="E11" s="59">
        <f ca="1">IF($C11="","",SUMIF('Číselník škol'!$B$2:$B$11,$C11,'Číselník škol'!C$2:C$11))</f>
        <v>1760</v>
      </c>
      <c r="F11" s="59"/>
      <c r="G11" s="59">
        <f ca="1">IF($C11="","",SUMIF('Číselník škol'!$B$2:$B$11,$C11,'Číselník škol'!D$2:D$11))</f>
        <v>1510</v>
      </c>
      <c r="H11" s="59"/>
      <c r="I11" s="59">
        <f ca="1">IF($C11="","",SUMIF('Číselník škol'!$B$2:$B$11,$C11,'Číselník škol'!E$2:E$11))</f>
        <v>1414</v>
      </c>
      <c r="J11" s="59"/>
      <c r="K11" s="59">
        <f ca="1">IF($C11="","",SUMIF('Číselník škol'!$B$2:$B$11,$C11,'Číselník škol'!F$2:F$11))</f>
        <v>1938</v>
      </c>
      <c r="L11" s="59"/>
      <c r="M11" s="59">
        <f ca="1">IF($C11="","",SUMIF('Číselník škol'!$B$2:$B$11,$C11,'Číselník škol'!G$2:G$11))</f>
        <v>1504</v>
      </c>
      <c r="N11" s="59"/>
      <c r="O11" s="60">
        <f ca="1">IF($C11="","",SUMIF('Číselník škol'!$B$2:$B$11,$C11,'Číselník škol'!H$2:H$11))</f>
        <v>6712</v>
      </c>
      <c r="P11" s="60"/>
      <c r="Q11" s="61" t="str">
        <f>IF(COUNTA('Číselník škol'!$B$2:$B$11)&gt;=5,"5.","")</f>
        <v>5.</v>
      </c>
      <c r="R11" s="61"/>
      <c r="T11" s="1"/>
      <c r="U11" s="21">
        <f t="shared" ca="1" si="0"/>
        <v>1414</v>
      </c>
    </row>
    <row r="12" spans="3:21" s="16" customFormat="1" ht="25.5" customHeight="1" x14ac:dyDescent="0.2">
      <c r="C12" s="62" t="str">
        <f ca="1">IF(OR(SUM($R$20:$R$2314)=0,Q12="",SUMIF('Číselník škol'!$I$2:$I$11,VALUE(LEFT(Q12,1)),'Číselník škol'!$A$2:$A$11)=0),"",LOOKUP(SUMIF('Číselník škol'!$I$2:$I$11,VALUE(LEFT(Q12,1)),'Číselník škol'!$A$2:$A$11),'Číselník škol'!$A$2:$A$11,'Číselník škol'!$B$2:$B$11))</f>
        <v xml:space="preserve">Gymnázium, Dobruška </v>
      </c>
      <c r="D12" s="62"/>
      <c r="E12" s="59">
        <f ca="1">IF($C12="","",SUMIF('Číselník škol'!$B$2:$B$11,$C12,'Číselník škol'!C$2:C$11))</f>
        <v>941</v>
      </c>
      <c r="F12" s="59"/>
      <c r="G12" s="59">
        <f ca="1">IF($C12="","",SUMIF('Číselník škol'!$B$2:$B$11,$C12,'Číselník škol'!D$2:D$11))</f>
        <v>1521</v>
      </c>
      <c r="H12" s="59"/>
      <c r="I12" s="59">
        <f ca="1">IF($C12="","",SUMIF('Číselník škol'!$B$2:$B$11,$C12,'Číselník škol'!E$2:E$11))</f>
        <v>1445</v>
      </c>
      <c r="J12" s="59"/>
      <c r="K12" s="59">
        <f ca="1">IF($C12="","",SUMIF('Číselník škol'!$B$2:$B$11,$C12,'Číselník škol'!F$2:F$11))</f>
        <v>1520</v>
      </c>
      <c r="L12" s="59"/>
      <c r="M12" s="59">
        <f ca="1">IF($C12="","",SUMIF('Číselník škol'!$B$2:$B$11,$C12,'Číselník škol'!G$2:G$11))</f>
        <v>1564</v>
      </c>
      <c r="N12" s="59"/>
      <c r="O12" s="60">
        <f ca="1">IF($C12="","",SUMIF('Číselník škol'!$B$2:$B$11,$C12,'Číselník škol'!H$2:H$11))</f>
        <v>6050</v>
      </c>
      <c r="P12" s="60"/>
      <c r="Q12" s="61" t="str">
        <f>IF(COUNTA('Číselník škol'!$B$2:$B$11)&gt;=6,"6.","")</f>
        <v>6.</v>
      </c>
      <c r="R12" s="61"/>
      <c r="T12" s="1"/>
      <c r="U12" s="21">
        <f t="shared" ca="1" si="0"/>
        <v>941</v>
      </c>
    </row>
    <row r="13" spans="3:21" s="16" customFormat="1" ht="25.5" customHeight="1" x14ac:dyDescent="0.2">
      <c r="C13" s="62" t="str">
        <f ca="1">IF(OR(SUM($R$20:$R$2314)=0,Q13="",SUMIF('Číselník škol'!$I$2:$I$11,VALUE(LEFT(Q13,1)),'Číselník škol'!$A$2:$A$11)=0),"",LOOKUP(SUMIF('Číselník škol'!$I$2:$I$11,VALUE(LEFT(Q13,1)),'Číselník škol'!$A$2:$A$11),'Číselník škol'!$A$2:$A$11,'Číselník škol'!$B$2:$B$11))</f>
        <v>ZŠ Rychnov nad Kněžnou, Javornická</v>
      </c>
      <c r="D13" s="62"/>
      <c r="E13" s="59">
        <f ca="1">IF($C13="","",SUMIF('Číselník škol'!$B$2:$B$11,$C13,'Číselník škol'!C$2:C$11))</f>
        <v>1704</v>
      </c>
      <c r="F13" s="59"/>
      <c r="G13" s="59">
        <f ca="1">IF($C13="","",SUMIF('Číselník škol'!$B$2:$B$11,$C13,'Číselník škol'!D$2:D$11))</f>
        <v>1613</v>
      </c>
      <c r="H13" s="59"/>
      <c r="I13" s="59">
        <f ca="1">IF($C13="","",SUMIF('Číselník škol'!$B$2:$B$11,$C13,'Číselník škol'!E$2:E$11))</f>
        <v>1347</v>
      </c>
      <c r="J13" s="59"/>
      <c r="K13" s="59">
        <f ca="1">IF($C13="","",SUMIF('Číselník škol'!$B$2:$B$11,$C13,'Číselník škol'!F$2:F$11))</f>
        <v>1181</v>
      </c>
      <c r="L13" s="59"/>
      <c r="M13" s="59">
        <f ca="1">IF($C13="","",SUMIF('Číselník škol'!$B$2:$B$11,$C13,'Číselník škol'!G$2:G$11))</f>
        <v>1135</v>
      </c>
      <c r="N13" s="59"/>
      <c r="O13" s="60">
        <f ca="1">IF($C13="","",SUMIF('Číselník škol'!$B$2:$B$11,$C13,'Číselník škol'!H$2:H$11))</f>
        <v>5845</v>
      </c>
      <c r="P13" s="60"/>
      <c r="Q13" s="61" t="s">
        <v>32</v>
      </c>
      <c r="R13" s="61"/>
      <c r="T13" s="1"/>
      <c r="U13" s="21">
        <f t="shared" ca="1" si="0"/>
        <v>1135</v>
      </c>
    </row>
    <row r="14" spans="3:21" s="16" customFormat="1" ht="25.5" customHeight="1" x14ac:dyDescent="0.2">
      <c r="C14" s="62" t="str">
        <f ca="1">IF(OR(SUM($R$20:$R$2314)=0,Q14="",SUMIF('Číselník škol'!$I$2:$I$11,VALUE(LEFT(Q14,1)),'Číselník škol'!$A$2:$A$11)=0),"",LOOKUP(SUMIF('Číselník škol'!$I$2:$I$11,VALUE(LEFT(Q14,1)),'Číselník škol'!$A$2:$A$11),'Číselník škol'!$A$2:$A$11,'Číselník škol'!$B$2:$B$11))</f>
        <v>ZŠ Vrchlabí, Školní</v>
      </c>
      <c r="D14" s="62"/>
      <c r="E14" s="59">
        <f ca="1">IF($C14="","",SUMIF('Číselník škol'!$B$2:$B$11,$C14,'Číselník škol'!C$2:C$11))</f>
        <v>1631</v>
      </c>
      <c r="F14" s="59"/>
      <c r="G14" s="59">
        <f ca="1">IF($C14="","",SUMIF('Číselník škol'!$B$2:$B$11,$C14,'Číselník škol'!D$2:D$11))</f>
        <v>1366</v>
      </c>
      <c r="H14" s="59"/>
      <c r="I14" s="59">
        <f ca="1">IF($C14="","",SUMIF('Číselník škol'!$B$2:$B$11,$C14,'Číselník škol'!E$2:E$11))</f>
        <v>1576</v>
      </c>
      <c r="J14" s="59"/>
      <c r="K14" s="59">
        <f ca="1">IF($C14="","",SUMIF('Číselník škol'!$B$2:$B$11,$C14,'Číselník škol'!F$2:F$11))</f>
        <v>1146</v>
      </c>
      <c r="L14" s="59"/>
      <c r="M14" s="59">
        <f ca="1">IF($C14="","",SUMIF('Číselník škol'!$B$2:$B$11,$C14,'Číselník škol'!G$2:G$11))</f>
        <v>1002</v>
      </c>
      <c r="N14" s="59"/>
      <c r="O14" s="60">
        <f ca="1">IF($C14="","",SUMIF('Číselník škol'!$B$2:$B$11,$C14,'Číselník škol'!H$2:H$11))</f>
        <v>5719</v>
      </c>
      <c r="P14" s="60"/>
      <c r="Q14" s="61" t="s">
        <v>33</v>
      </c>
      <c r="R14" s="61"/>
      <c r="T14" s="1"/>
      <c r="U14" s="21">
        <f t="shared" ca="1" si="0"/>
        <v>1002</v>
      </c>
    </row>
    <row r="15" spans="3:21" s="16" customFormat="1" ht="25.5" customHeight="1" x14ac:dyDescent="0.2">
      <c r="C15" s="62" t="str">
        <f ca="1">IF(OR(SUM($R$20:$R$2314)=0,Q15="",SUMIF('Číselník škol'!$I$2:$I$11,VALUE(LEFT(Q15,1)),'Číselník škol'!$A$2:$A$11)=0),"",LOOKUP(SUMIF('Číselník škol'!$I$2:$I$11,VALUE(LEFT(Q15,1)),'Číselník škol'!$A$2:$A$11),'Číselník škol'!$A$2:$A$11,'Číselník škol'!$B$2:$B$11))</f>
        <v>ZŠ Nová Paka, Komenského</v>
      </c>
      <c r="D15" s="62"/>
      <c r="E15" s="59">
        <f ca="1">IF($C15="","",SUMIF('Číselník škol'!$B$2:$B$11,$C15,'Číselník škol'!C$2:C$11))</f>
        <v>1497</v>
      </c>
      <c r="F15" s="59"/>
      <c r="G15" s="59">
        <f ca="1">IF($C15="","",SUMIF('Číselník škol'!$B$2:$B$11,$C15,'Číselník škol'!D$2:D$11))</f>
        <v>1466</v>
      </c>
      <c r="H15" s="59"/>
      <c r="I15" s="59">
        <f ca="1">IF($C15="","",SUMIF('Číselník škol'!$B$2:$B$11,$C15,'Číselník škol'!E$2:E$11))</f>
        <v>1356</v>
      </c>
      <c r="J15" s="59"/>
      <c r="K15" s="59">
        <f ca="1">IF($C15="","",SUMIF('Číselník škol'!$B$2:$B$11,$C15,'Číselník škol'!F$2:F$11))</f>
        <v>1137</v>
      </c>
      <c r="L15" s="59"/>
      <c r="M15" s="59">
        <f ca="1">IF($C15="","",SUMIF('Číselník škol'!$B$2:$B$11,$C15,'Číselník škol'!G$2:G$11))</f>
        <v>1128</v>
      </c>
      <c r="N15" s="59"/>
      <c r="O15" s="60">
        <f ca="1">IF($C15="","",SUMIF('Číselník škol'!$B$2:$B$11,$C15,'Číselník škol'!H$2:H$11))</f>
        <v>5456</v>
      </c>
      <c r="P15" s="60"/>
      <c r="Q15" s="61" t="s">
        <v>34</v>
      </c>
      <c r="R15" s="61"/>
      <c r="T15" s="1"/>
      <c r="U15" s="21">
        <f t="shared" ca="1" si="0"/>
        <v>1128</v>
      </c>
    </row>
    <row r="16" spans="3:21" s="16" customFormat="1" ht="25.5" customHeight="1" x14ac:dyDescent="0.2">
      <c r="C16" s="62" t="str">
        <f ca="1">IF(OR(SUM($R$20:$R$2314)=0,Q16="",SUMIF('Číselník škol'!$I$2:$I$11,VALUE(LEFT(Q16,1)),'Číselník škol'!$A$2:$A$11)=0),"",LOOKUP(SUMIF('Číselník škol'!$I$2:$I$11,VALUE(LEFT(Q16,2)),'Číselník škol'!$A$2:$A$11),'Číselník škol'!$A$2:$A$11,'Číselník škol'!$B$2:$B$11))</f>
        <v>ZŠ Náchod, Komenského</v>
      </c>
      <c r="D16" s="62"/>
      <c r="E16" s="59">
        <f ca="1">IF($C16="","",SUMIF('Číselník škol'!$B$2:$B$11,$C16,'Číselník škol'!C$2:C$11))</f>
        <v>1168</v>
      </c>
      <c r="F16" s="59"/>
      <c r="G16" s="59">
        <f ca="1">IF($C16="","",SUMIF('Číselník škol'!$B$2:$B$11,$C16,'Číselník škol'!D$2:D$11))</f>
        <v>956</v>
      </c>
      <c r="H16" s="59"/>
      <c r="I16" s="59">
        <f ca="1">IF($C16="","",SUMIF('Číselník škol'!$B$2:$B$11,$C16,'Číselník škol'!E$2:E$11))</f>
        <v>1036</v>
      </c>
      <c r="J16" s="59"/>
      <c r="K16" s="59">
        <f ca="1">IF($C16="","",SUMIF('Číselník škol'!$B$2:$B$11,$C16,'Číselník škol'!F$2:F$11))</f>
        <v>1726</v>
      </c>
      <c r="L16" s="59"/>
      <c r="M16" s="59">
        <f ca="1">IF($C16="","",SUMIF('Číselník škol'!$B$2:$B$11,$C16,'Číselník škol'!G$2:G$11))</f>
        <v>1113</v>
      </c>
      <c r="N16" s="59"/>
      <c r="O16" s="60">
        <f ca="1">IF($C16="","",SUMIF('Číselník škol'!$B$2:$B$11,$C16,'Číselník škol'!H$2:H$11))</f>
        <v>5043</v>
      </c>
      <c r="P16" s="60"/>
      <c r="Q16" s="61" t="s">
        <v>35</v>
      </c>
      <c r="R16" s="61"/>
      <c r="T16" s="1"/>
      <c r="U16" s="21">
        <f t="shared" ca="1" si="0"/>
        <v>956</v>
      </c>
    </row>
    <row r="18" spans="1:22" ht="29.25" x14ac:dyDescent="0.4">
      <c r="C18" s="12" t="s">
        <v>17</v>
      </c>
    </row>
    <row r="19" spans="1:22" ht="15.75" customHeight="1" x14ac:dyDescent="0.2">
      <c r="C19" s="10" t="s">
        <v>0</v>
      </c>
      <c r="D19" s="10" t="s">
        <v>1</v>
      </c>
      <c r="E19" s="74">
        <v>60</v>
      </c>
      <c r="F19" s="74"/>
      <c r="G19" s="74">
        <v>1000</v>
      </c>
      <c r="H19" s="74"/>
      <c r="I19" s="74"/>
      <c r="J19" s="73" t="s">
        <v>2</v>
      </c>
      <c r="K19" s="73"/>
      <c r="L19" s="73" t="s">
        <v>3</v>
      </c>
      <c r="M19" s="73"/>
      <c r="N19" s="73" t="s">
        <v>4</v>
      </c>
      <c r="O19" s="73"/>
      <c r="P19" s="73" t="s">
        <v>5</v>
      </c>
      <c r="Q19" s="73"/>
      <c r="R19" s="11" t="s">
        <v>6</v>
      </c>
      <c r="S19" s="11" t="s">
        <v>7</v>
      </c>
    </row>
    <row r="20" spans="1:22" x14ac:dyDescent="0.2">
      <c r="A20" s="1" t="str">
        <f>IF(C20="","",SUMIF('Číselník škol'!$B$2:$B$11,'CH jednotlivci'!D20,'Číselník škol'!$A$2:$A$11)&amp;"/"&amp;COUNTIF($D$20:D20,D20))</f>
        <v>1/1</v>
      </c>
      <c r="C20" s="7" t="s">
        <v>47</v>
      </c>
      <c r="D20" s="8" t="s">
        <v>46</v>
      </c>
      <c r="E20" s="17">
        <v>8.17</v>
      </c>
      <c r="F20" s="5">
        <f>IF(E20="","",INT(58.015*POWER(11.26-IF(E20&gt;11.26,11.26,E20),1.81)))</f>
        <v>447</v>
      </c>
      <c r="G20" s="9">
        <v>3</v>
      </c>
      <c r="H20" s="48">
        <v>14.8</v>
      </c>
      <c r="I20" s="5">
        <f>IF(G20="","",IF(G20*60+H20&gt;305.5,0,INT(0.08713*POWER(305.5-(G20*60+H20),1.85))))</f>
        <v>527</v>
      </c>
      <c r="J20" s="18"/>
      <c r="K20" s="5" t="str">
        <f>IF(J20="","",IF(J20&lt;220,0,INT(0.14354*POWER(J20-220,1.4))))</f>
        <v/>
      </c>
      <c r="L20" s="18">
        <v>141</v>
      </c>
      <c r="M20" s="5">
        <f>IF(L20="","",IF(L20&lt;75,0,INT(0.8465*POWER(L20-75,1.42))))</f>
        <v>324</v>
      </c>
      <c r="N20" s="19"/>
      <c r="O20" s="5" t="str">
        <f>IF(N20="","",IF(N20&lt;1.5,0,INT(51.39*POWER(N20-1.5,1.05))))</f>
        <v/>
      </c>
      <c r="P20" s="19">
        <v>39.340000000000003</v>
      </c>
      <c r="Q20" s="5">
        <f>IF(P20="","",IF(P20&lt;1.5,0,INT(5.33*POWER(P20-10,1.1))))</f>
        <v>219</v>
      </c>
      <c r="R20" s="6">
        <f>IF(OR(SUM(Q20,O20,M20,K20,I20,F20)=0,C20=""),"",SUM(Q20,O20,M20,K20,I20,F20))</f>
        <v>1517</v>
      </c>
      <c r="S20" s="20" t="str">
        <f>IF(OR(R20="",C20=""),"",RANK(R20,$R$20:$R$136,0)&amp;".")</f>
        <v>26.</v>
      </c>
      <c r="V20" s="1">
        <f>IF(C20="","",COUNT(E20,G20,J20,L20,N20,P20))</f>
        <v>4</v>
      </c>
    </row>
    <row r="21" spans="1:22" x14ac:dyDescent="0.2">
      <c r="A21" s="1" t="str">
        <f>IF(C21="","",SUMIF('Číselník škol'!$B$2:$B$11,'CH jednotlivci'!D21,'Číselník škol'!$A$2:$A$11)&amp;"/"&amp;COUNTIF($D$20:D21,D21))</f>
        <v>1/2</v>
      </c>
      <c r="C21" s="7" t="s">
        <v>48</v>
      </c>
      <c r="D21" s="8" t="s">
        <v>46</v>
      </c>
      <c r="E21" s="17">
        <v>7.78</v>
      </c>
      <c r="F21" s="5">
        <f>IF(E21="","",INT(58.015*POWER(11.26-IF(E21&gt;11.26,11.26,E21),1.81)))</f>
        <v>554</v>
      </c>
      <c r="G21" s="9">
        <v>3</v>
      </c>
      <c r="H21" s="48">
        <v>25.6</v>
      </c>
      <c r="I21" s="5">
        <f>IF(G21="","",IF(G21*60+H21&gt;305.5,0,INT(0.08713*POWER(305.5-(G21*60+H21),1.85))))</f>
        <v>435</v>
      </c>
      <c r="J21" s="18"/>
      <c r="K21" s="5" t="str">
        <f>IF(J21="","",IF(J21&lt;220,0,INT(0.14354*POWER(J21-220,1.4))))</f>
        <v/>
      </c>
      <c r="L21" s="18">
        <v>149</v>
      </c>
      <c r="M21" s="5">
        <f>IF(L21="","",IF(L21&lt;75,0,INT(0.8465*POWER(L21-75,1.42))))</f>
        <v>381</v>
      </c>
      <c r="N21" s="19">
        <v>10.220000000000001</v>
      </c>
      <c r="O21" s="5">
        <f>IF(N21="","",IF(N21&lt;1.5,0,INT(51.39*POWER(N21-1.5,1.05))))</f>
        <v>499</v>
      </c>
      <c r="P21" s="19"/>
      <c r="Q21" s="5" t="str">
        <f>IF(P21="","",IF(P21&lt;1.5,0,INT(5.33*POWER(P21-10,1.1))))</f>
        <v/>
      </c>
      <c r="R21" s="6">
        <f t="shared" ref="R21:R84" si="1">IF(OR(SUM(Q21,O21,M21,K21,I21,F21)=0,C21=""),"",SUM(Q21,O21,M21,K21,I21,F21))</f>
        <v>1869</v>
      </c>
      <c r="S21" s="20" t="str">
        <f t="shared" ref="S21:S84" si="2">IF(OR(R21="",C21=""),"",RANK(R21,$R$20:$R$136,0)&amp;".")</f>
        <v>5.</v>
      </c>
      <c r="V21" s="1">
        <f t="shared" ref="V21:V84" si="3">IF(C21="","",COUNT(E21,G21,J21,L21,N21,P21))</f>
        <v>4</v>
      </c>
    </row>
    <row r="22" spans="1:22" x14ac:dyDescent="0.2">
      <c r="A22" s="1" t="str">
        <f>IF(C22="","",SUMIF('Číselník škol'!$B$2:$B$11,'CH jednotlivci'!D22,'Číselník škol'!$A$2:$A$11)&amp;"/"&amp;COUNTIF($D$20:D22,D22))</f>
        <v>1/3</v>
      </c>
      <c r="C22" s="7" t="s">
        <v>49</v>
      </c>
      <c r="D22" s="8" t="s">
        <v>46</v>
      </c>
      <c r="E22" s="17">
        <v>7.49</v>
      </c>
      <c r="F22" s="5">
        <f t="shared" ref="F22:F85" si="4">IF(E22="","",INT(58.015*POWER(11.26-IF(E22&gt;11.26,11.26,E22),1.81)))</f>
        <v>640</v>
      </c>
      <c r="G22" s="9">
        <v>3</v>
      </c>
      <c r="H22" s="48">
        <v>13.1</v>
      </c>
      <c r="I22" s="5">
        <f t="shared" ref="I22:I48" si="5">IF(G22="","",IF(G22*60+H22&gt;305.5,0,INT(0.08713*POWER(305.5-(G22*60+H22),1.85))))</f>
        <v>542</v>
      </c>
      <c r="J22" s="18">
        <v>553</v>
      </c>
      <c r="K22" s="5">
        <f t="shared" ref="K22:K85" si="6">IF(J22="","",IF(J22&lt;220,0,INT(0.14354*POWER(J22-220,1.4))))</f>
        <v>487</v>
      </c>
      <c r="L22" s="18"/>
      <c r="M22" s="5" t="str">
        <f t="shared" ref="M22:M85" si="7">IF(L22="","",IF(L22&lt;75,0,INT(0.8465*POWER(L22-75,1.42))))</f>
        <v/>
      </c>
      <c r="N22" s="19"/>
      <c r="O22" s="5" t="str">
        <f t="shared" ref="O22:O85" si="8">IF(N22="","",IF(N22&lt;1.5,0,INT(51.39*POWER(N22-1.5,1.05))))</f>
        <v/>
      </c>
      <c r="P22" s="19">
        <v>41.2</v>
      </c>
      <c r="Q22" s="5">
        <f t="shared" ref="Q22:Q85" si="9">IF(P22="","",IF(P22&lt;1.5,0,INT(5.33*POWER(P22-10,1.1))))</f>
        <v>234</v>
      </c>
      <c r="R22" s="6">
        <f t="shared" si="1"/>
        <v>1903</v>
      </c>
      <c r="S22" s="20" t="str">
        <f t="shared" si="2"/>
        <v>4.</v>
      </c>
      <c r="V22" s="1">
        <f t="shared" si="3"/>
        <v>4</v>
      </c>
    </row>
    <row r="23" spans="1:22" x14ac:dyDescent="0.2">
      <c r="A23" s="1" t="str">
        <f>IF(C23="","",SUMIF('Číselník škol'!$B$2:$B$11,'CH jednotlivci'!D23,'Číselník škol'!$A$2:$A$11)&amp;"/"&amp;COUNTIF($D$20:D23,D23))</f>
        <v>1/4</v>
      </c>
      <c r="C23" s="7" t="s">
        <v>50</v>
      </c>
      <c r="D23" s="8" t="s">
        <v>46</v>
      </c>
      <c r="E23" s="17">
        <v>7.82</v>
      </c>
      <c r="F23" s="5">
        <f t="shared" si="4"/>
        <v>542</v>
      </c>
      <c r="G23" s="9">
        <v>3</v>
      </c>
      <c r="H23" s="48">
        <v>28.9</v>
      </c>
      <c r="I23" s="5">
        <f t="shared" si="5"/>
        <v>409</v>
      </c>
      <c r="J23" s="18"/>
      <c r="K23" s="5" t="str">
        <f t="shared" si="6"/>
        <v/>
      </c>
      <c r="L23" s="18">
        <v>145</v>
      </c>
      <c r="M23" s="5">
        <f t="shared" si="7"/>
        <v>352</v>
      </c>
      <c r="N23" s="19">
        <v>7.08</v>
      </c>
      <c r="O23" s="5">
        <f t="shared" si="8"/>
        <v>312</v>
      </c>
      <c r="P23" s="19"/>
      <c r="Q23" s="5" t="str">
        <f t="shared" si="9"/>
        <v/>
      </c>
      <c r="R23" s="6">
        <f t="shared" si="1"/>
        <v>1615</v>
      </c>
      <c r="S23" s="20" t="str">
        <f t="shared" si="2"/>
        <v>18.</v>
      </c>
      <c r="V23" s="1">
        <f t="shared" si="3"/>
        <v>4</v>
      </c>
    </row>
    <row r="24" spans="1:22" x14ac:dyDescent="0.2">
      <c r="A24" s="1" t="str">
        <f>IF(C24="","",SUMIF('Číselník škol'!$B$2:$B$11,'CH jednotlivci'!D24,'Číselník škol'!$A$2:$A$11)&amp;"/"&amp;COUNTIF($D$20:D24,D24))</f>
        <v>1/5</v>
      </c>
      <c r="C24" s="7" t="s">
        <v>51</v>
      </c>
      <c r="D24" s="8" t="s">
        <v>46</v>
      </c>
      <c r="E24" s="17">
        <v>8.18</v>
      </c>
      <c r="F24" s="5">
        <f t="shared" si="4"/>
        <v>444</v>
      </c>
      <c r="G24" s="9">
        <v>3</v>
      </c>
      <c r="H24" s="48">
        <v>16.5</v>
      </c>
      <c r="I24" s="5">
        <f t="shared" si="5"/>
        <v>512</v>
      </c>
      <c r="J24" s="18">
        <v>455</v>
      </c>
      <c r="K24" s="5">
        <f t="shared" si="6"/>
        <v>299</v>
      </c>
      <c r="L24" s="18"/>
      <c r="M24" s="5" t="str">
        <f t="shared" si="7"/>
        <v/>
      </c>
      <c r="N24" s="19"/>
      <c r="O24" s="5" t="str">
        <f t="shared" si="8"/>
        <v/>
      </c>
      <c r="P24" s="19">
        <v>61.8</v>
      </c>
      <c r="Q24" s="5">
        <f t="shared" si="9"/>
        <v>409</v>
      </c>
      <c r="R24" s="6">
        <f t="shared" si="1"/>
        <v>1664</v>
      </c>
      <c r="S24" s="20" t="str">
        <f t="shared" si="2"/>
        <v>16.</v>
      </c>
      <c r="V24" s="1">
        <f t="shared" si="3"/>
        <v>4</v>
      </c>
    </row>
    <row r="25" spans="1:22" x14ac:dyDescent="0.2">
      <c r="A25" s="1" t="str">
        <f>IF(C25="","",SUMIF('Číselník škol'!$B$2:$B$11,'CH jednotlivci'!D25,'Číselník škol'!$A$2:$A$11)&amp;"/"&amp;COUNTIF($D$20:D25,D25))</f>
        <v>2/1</v>
      </c>
      <c r="C25" s="7" t="s">
        <v>52</v>
      </c>
      <c r="D25" s="8" t="s">
        <v>53</v>
      </c>
      <c r="E25" s="17">
        <v>8.56</v>
      </c>
      <c r="F25" s="5">
        <f t="shared" si="4"/>
        <v>350</v>
      </c>
      <c r="G25" s="9">
        <v>3</v>
      </c>
      <c r="H25" s="48">
        <v>8.6999999999999993</v>
      </c>
      <c r="I25" s="5">
        <f t="shared" si="5"/>
        <v>582</v>
      </c>
      <c r="J25" s="18">
        <v>431</v>
      </c>
      <c r="K25" s="5">
        <f t="shared" si="6"/>
        <v>257</v>
      </c>
      <c r="L25" s="18"/>
      <c r="M25" s="5" t="str">
        <f t="shared" si="7"/>
        <v/>
      </c>
      <c r="N25" s="19"/>
      <c r="O25" s="5" t="str">
        <f t="shared" si="8"/>
        <v/>
      </c>
      <c r="P25" s="19">
        <v>50</v>
      </c>
      <c r="Q25" s="5">
        <f t="shared" si="9"/>
        <v>308</v>
      </c>
      <c r="R25" s="6">
        <f t="shared" si="1"/>
        <v>1497</v>
      </c>
      <c r="S25" s="20" t="str">
        <f t="shared" si="2"/>
        <v>29.</v>
      </c>
      <c r="V25" s="1">
        <f t="shared" si="3"/>
        <v>4</v>
      </c>
    </row>
    <row r="26" spans="1:22" x14ac:dyDescent="0.2">
      <c r="A26" s="1" t="str">
        <f>IF(C26="","",SUMIF('Číselník škol'!$B$2:$B$11,'CH jednotlivci'!D26,'Číselník škol'!$A$2:$A$11)&amp;"/"&amp;COUNTIF($D$20:D26,D26))</f>
        <v>2/2</v>
      </c>
      <c r="C26" s="7" t="s">
        <v>54</v>
      </c>
      <c r="D26" s="8" t="s">
        <v>53</v>
      </c>
      <c r="E26" s="17">
        <v>8.77</v>
      </c>
      <c r="F26" s="5">
        <f t="shared" si="4"/>
        <v>302</v>
      </c>
      <c r="G26" s="9">
        <v>3</v>
      </c>
      <c r="H26" s="48">
        <v>24.2</v>
      </c>
      <c r="I26" s="5">
        <f t="shared" si="5"/>
        <v>447</v>
      </c>
      <c r="J26" s="18"/>
      <c r="K26" s="5" t="str">
        <f t="shared" si="6"/>
        <v/>
      </c>
      <c r="L26" s="18">
        <v>149</v>
      </c>
      <c r="M26" s="5">
        <f t="shared" si="7"/>
        <v>381</v>
      </c>
      <c r="N26" s="19">
        <v>7.48</v>
      </c>
      <c r="O26" s="5">
        <f t="shared" si="8"/>
        <v>336</v>
      </c>
      <c r="P26" s="19"/>
      <c r="Q26" s="5" t="str">
        <f t="shared" si="9"/>
        <v/>
      </c>
      <c r="R26" s="6">
        <f t="shared" si="1"/>
        <v>1466</v>
      </c>
      <c r="S26" s="20" t="str">
        <f t="shared" si="2"/>
        <v>31.</v>
      </c>
      <c r="V26" s="1">
        <f t="shared" si="3"/>
        <v>4</v>
      </c>
    </row>
    <row r="27" spans="1:22" x14ac:dyDescent="0.2">
      <c r="A27" s="1" t="str">
        <f>IF(C27="","",SUMIF('Číselník škol'!$B$2:$B$11,'CH jednotlivci'!D27,'Číselník škol'!$A$2:$A$11)&amp;"/"&amp;COUNTIF($D$20:D27,D27))</f>
        <v>2/3</v>
      </c>
      <c r="C27" s="7" t="s">
        <v>55</v>
      </c>
      <c r="D27" s="8" t="s">
        <v>53</v>
      </c>
      <c r="E27" s="17">
        <v>9.27</v>
      </c>
      <c r="F27" s="5">
        <f t="shared" si="4"/>
        <v>201</v>
      </c>
      <c r="G27" s="9">
        <v>3</v>
      </c>
      <c r="H27" s="48">
        <v>10.8</v>
      </c>
      <c r="I27" s="5">
        <f t="shared" si="5"/>
        <v>562</v>
      </c>
      <c r="J27" s="18">
        <v>470</v>
      </c>
      <c r="K27" s="5">
        <f t="shared" si="6"/>
        <v>326</v>
      </c>
      <c r="L27" s="18"/>
      <c r="M27" s="5" t="str">
        <f t="shared" si="7"/>
        <v/>
      </c>
      <c r="N27" s="19"/>
      <c r="O27" s="5" t="str">
        <f t="shared" si="8"/>
        <v/>
      </c>
      <c r="P27" s="19">
        <v>45.1</v>
      </c>
      <c r="Q27" s="5">
        <f t="shared" si="9"/>
        <v>267</v>
      </c>
      <c r="R27" s="6">
        <f t="shared" si="1"/>
        <v>1356</v>
      </c>
      <c r="S27" s="20" t="str">
        <f t="shared" si="2"/>
        <v>36.</v>
      </c>
      <c r="V27" s="1">
        <f t="shared" si="3"/>
        <v>4</v>
      </c>
    </row>
    <row r="28" spans="1:22" x14ac:dyDescent="0.2">
      <c r="A28" s="1" t="str">
        <f>IF(C28="","",SUMIF('Číselník škol'!$B$2:$B$11,'CH jednotlivci'!D28,'Číselník škol'!$A$2:$A$11)&amp;"/"&amp;COUNTIF($D$20:D28,D28))</f>
        <v>2/4</v>
      </c>
      <c r="C28" s="7" t="s">
        <v>56</v>
      </c>
      <c r="D28" s="8" t="s">
        <v>53</v>
      </c>
      <c r="E28" s="17">
        <v>8.77</v>
      </c>
      <c r="F28" s="5">
        <f t="shared" si="4"/>
        <v>302</v>
      </c>
      <c r="G28" s="9">
        <v>3</v>
      </c>
      <c r="H28" s="48">
        <v>77.599999999999994</v>
      </c>
      <c r="I28" s="5">
        <f t="shared" si="5"/>
        <v>111</v>
      </c>
      <c r="J28" s="18"/>
      <c r="K28" s="5" t="str">
        <f t="shared" si="6"/>
        <v/>
      </c>
      <c r="L28" s="18">
        <v>141</v>
      </c>
      <c r="M28" s="5">
        <f t="shared" si="7"/>
        <v>324</v>
      </c>
      <c r="N28" s="19">
        <v>8.57</v>
      </c>
      <c r="O28" s="5">
        <f t="shared" si="8"/>
        <v>400</v>
      </c>
      <c r="P28" s="19"/>
      <c r="Q28" s="5" t="str">
        <f t="shared" si="9"/>
        <v/>
      </c>
      <c r="R28" s="6">
        <f t="shared" si="1"/>
        <v>1137</v>
      </c>
      <c r="S28" s="20" t="str">
        <f t="shared" si="2"/>
        <v>43.</v>
      </c>
      <c r="V28" s="1">
        <f t="shared" si="3"/>
        <v>4</v>
      </c>
    </row>
    <row r="29" spans="1:22" x14ac:dyDescent="0.2">
      <c r="A29" s="1" t="str">
        <f>IF(C29="","",SUMIF('Číselník škol'!$B$2:$B$11,'CH jednotlivci'!D29,'Číselník škol'!$A$2:$A$11)&amp;"/"&amp;COUNTIF($D$20:D29,D29))</f>
        <v>2/5</v>
      </c>
      <c r="C29" s="7" t="s">
        <v>143</v>
      </c>
      <c r="D29" s="8" t="s">
        <v>53</v>
      </c>
      <c r="E29" s="17">
        <v>8.73</v>
      </c>
      <c r="F29" s="5">
        <f t="shared" si="4"/>
        <v>311</v>
      </c>
      <c r="G29" s="9">
        <v>4</v>
      </c>
      <c r="H29" s="48">
        <v>5.9</v>
      </c>
      <c r="I29" s="5">
        <f t="shared" si="5"/>
        <v>167</v>
      </c>
      <c r="J29" s="18">
        <v>477</v>
      </c>
      <c r="K29" s="5">
        <f t="shared" si="6"/>
        <v>339</v>
      </c>
      <c r="L29" s="18"/>
      <c r="M29" s="5" t="str">
        <f t="shared" si="7"/>
        <v/>
      </c>
      <c r="N29" s="19"/>
      <c r="O29" s="5" t="str">
        <f t="shared" si="8"/>
        <v/>
      </c>
      <c r="P29" s="19">
        <v>50.38</v>
      </c>
      <c r="Q29" s="5">
        <f t="shared" si="9"/>
        <v>311</v>
      </c>
      <c r="R29" s="6">
        <f t="shared" si="1"/>
        <v>1128</v>
      </c>
      <c r="S29" s="20" t="str">
        <f t="shared" si="2"/>
        <v>45.</v>
      </c>
      <c r="V29" s="1">
        <f t="shared" si="3"/>
        <v>4</v>
      </c>
    </row>
    <row r="30" spans="1:22" x14ac:dyDescent="0.2">
      <c r="A30" s="1" t="str">
        <f>IF(C30="","",SUMIF('Číselník škol'!$B$2:$B$11,'CH jednotlivci'!D30,'Číselník škol'!$A$2:$A$11)&amp;"/"&amp;COUNTIF($D$20:D30,D30))</f>
        <v>3/1</v>
      </c>
      <c r="C30" s="7" t="s">
        <v>141</v>
      </c>
      <c r="D30" s="8" t="s">
        <v>57</v>
      </c>
      <c r="E30" s="17">
        <v>9.15</v>
      </c>
      <c r="F30" s="5">
        <f t="shared" si="4"/>
        <v>224</v>
      </c>
      <c r="G30" s="9">
        <v>3</v>
      </c>
      <c r="H30" s="48">
        <v>15.4</v>
      </c>
      <c r="I30" s="5">
        <f t="shared" si="5"/>
        <v>521</v>
      </c>
      <c r="J30" s="18">
        <v>416</v>
      </c>
      <c r="K30" s="5">
        <f t="shared" si="6"/>
        <v>232</v>
      </c>
      <c r="L30" s="18"/>
      <c r="M30" s="5" t="str">
        <f t="shared" si="7"/>
        <v/>
      </c>
      <c r="N30" s="19"/>
      <c r="O30" s="5" t="str">
        <f t="shared" si="8"/>
        <v/>
      </c>
      <c r="P30" s="19">
        <v>42.35</v>
      </c>
      <c r="Q30" s="5">
        <f t="shared" si="9"/>
        <v>244</v>
      </c>
      <c r="R30" s="6">
        <f t="shared" si="1"/>
        <v>1221</v>
      </c>
      <c r="S30" s="20" t="str">
        <f t="shared" si="2"/>
        <v>39.</v>
      </c>
      <c r="V30" s="1">
        <f t="shared" si="3"/>
        <v>4</v>
      </c>
    </row>
    <row r="31" spans="1:22" x14ac:dyDescent="0.2">
      <c r="A31" s="1" t="str">
        <f>IF(C31="","",SUMIF('Číselník škol'!$B$2:$B$11,'CH jednotlivci'!D31,'Číselník škol'!$A$2:$A$11)&amp;"/"&amp;COUNTIF($D$20:D31,D31))</f>
        <v>3/2</v>
      </c>
      <c r="C31" s="7" t="s">
        <v>70</v>
      </c>
      <c r="D31" s="8" t="s">
        <v>57</v>
      </c>
      <c r="E31" s="17">
        <v>8.11</v>
      </c>
      <c r="F31" s="5">
        <f t="shared" si="4"/>
        <v>462</v>
      </c>
      <c r="G31" s="9">
        <v>3</v>
      </c>
      <c r="H31" s="48">
        <v>8.3000000000000007</v>
      </c>
      <c r="I31" s="5">
        <f t="shared" si="5"/>
        <v>585</v>
      </c>
      <c r="J31" s="18">
        <v>458</v>
      </c>
      <c r="K31" s="5">
        <f t="shared" si="6"/>
        <v>304</v>
      </c>
      <c r="L31" s="18"/>
      <c r="M31" s="5" t="str">
        <f t="shared" si="7"/>
        <v/>
      </c>
      <c r="N31" s="19"/>
      <c r="O31" s="5" t="str">
        <f t="shared" si="8"/>
        <v/>
      </c>
      <c r="P31" s="19">
        <v>50.9</v>
      </c>
      <c r="Q31" s="5">
        <f t="shared" si="9"/>
        <v>315</v>
      </c>
      <c r="R31" s="6">
        <f t="shared" si="1"/>
        <v>1666</v>
      </c>
      <c r="S31" s="20" t="str">
        <f t="shared" si="2"/>
        <v>15.</v>
      </c>
      <c r="V31" s="1">
        <f t="shared" si="3"/>
        <v>4</v>
      </c>
    </row>
    <row r="32" spans="1:22" x14ac:dyDescent="0.2">
      <c r="A32" s="1" t="str">
        <f>IF(C32="","",SUMIF('Číselník škol'!$B$2:$B$11,'CH jednotlivci'!D32,'Číselník škol'!$A$2:$A$11)&amp;"/"&amp;COUNTIF($D$20:D32,D32))</f>
        <v>3/3</v>
      </c>
      <c r="C32" s="7" t="s">
        <v>71</v>
      </c>
      <c r="D32" s="8" t="s">
        <v>57</v>
      </c>
      <c r="E32" s="17">
        <v>7.92</v>
      </c>
      <c r="F32" s="5">
        <f t="shared" si="4"/>
        <v>514</v>
      </c>
      <c r="G32" s="9">
        <v>3</v>
      </c>
      <c r="H32" s="48">
        <v>25.7</v>
      </c>
      <c r="I32" s="5">
        <f t="shared" si="5"/>
        <v>435</v>
      </c>
      <c r="J32" s="18">
        <v>448</v>
      </c>
      <c r="K32" s="5">
        <f t="shared" si="6"/>
        <v>287</v>
      </c>
      <c r="L32" s="18"/>
      <c r="M32" s="5" t="str">
        <f t="shared" si="7"/>
        <v/>
      </c>
      <c r="N32" s="19"/>
      <c r="O32" s="5" t="str">
        <f t="shared" si="8"/>
        <v/>
      </c>
      <c r="P32" s="19">
        <v>34.700000000000003</v>
      </c>
      <c r="Q32" s="5">
        <f t="shared" si="9"/>
        <v>181</v>
      </c>
      <c r="R32" s="6">
        <f t="shared" si="1"/>
        <v>1417</v>
      </c>
      <c r="S32" s="20" t="str">
        <f t="shared" si="2"/>
        <v>33.</v>
      </c>
      <c r="V32" s="1">
        <f t="shared" si="3"/>
        <v>4</v>
      </c>
    </row>
    <row r="33" spans="1:22" x14ac:dyDescent="0.2">
      <c r="A33" s="1" t="str">
        <f>IF(C33="","",SUMIF('Číselník škol'!$B$2:$B$11,'CH jednotlivci'!D33,'Číselník škol'!$A$2:$A$11)&amp;"/"&amp;COUNTIF($D$20:D33,D33))</f>
        <v>3/4</v>
      </c>
      <c r="C33" s="7" t="s">
        <v>72</v>
      </c>
      <c r="D33" s="8" t="s">
        <v>57</v>
      </c>
      <c r="E33" s="17">
        <v>8.32</v>
      </c>
      <c r="F33" s="5">
        <f t="shared" si="4"/>
        <v>408</v>
      </c>
      <c r="G33" s="9">
        <v>3</v>
      </c>
      <c r="H33" s="48">
        <v>12.8</v>
      </c>
      <c r="I33" s="5">
        <f t="shared" si="5"/>
        <v>544</v>
      </c>
      <c r="J33" s="18"/>
      <c r="K33" s="5" t="str">
        <f t="shared" si="6"/>
        <v/>
      </c>
      <c r="L33" s="18">
        <v>161</v>
      </c>
      <c r="M33" s="5">
        <f t="shared" si="7"/>
        <v>472</v>
      </c>
      <c r="N33" s="19">
        <v>9.2100000000000009</v>
      </c>
      <c r="O33" s="5">
        <f t="shared" si="8"/>
        <v>438</v>
      </c>
      <c r="P33" s="19"/>
      <c r="Q33" s="5" t="str">
        <f t="shared" si="9"/>
        <v/>
      </c>
      <c r="R33" s="6">
        <f t="shared" si="1"/>
        <v>1862</v>
      </c>
      <c r="S33" s="20" t="str">
        <f t="shared" si="2"/>
        <v>6.</v>
      </c>
      <c r="V33" s="1">
        <f t="shared" si="3"/>
        <v>4</v>
      </c>
    </row>
    <row r="34" spans="1:22" x14ac:dyDescent="0.2">
      <c r="A34" s="1" t="str">
        <f>IF(C34="","",SUMIF('Číselník škol'!$B$2:$B$11,'CH jednotlivci'!D34,'Číselník škol'!$A$2:$A$11)&amp;"/"&amp;COUNTIF($D$20:D34,D34))</f>
        <v>3/5</v>
      </c>
      <c r="C34" s="7" t="s">
        <v>73</v>
      </c>
      <c r="D34" s="8" t="s">
        <v>57</v>
      </c>
      <c r="E34" s="17">
        <v>8.06</v>
      </c>
      <c r="F34" s="5">
        <f t="shared" si="4"/>
        <v>476</v>
      </c>
      <c r="G34" s="9">
        <v>3</v>
      </c>
      <c r="H34" s="48">
        <v>5</v>
      </c>
      <c r="I34" s="5">
        <f t="shared" si="5"/>
        <v>616</v>
      </c>
      <c r="J34" s="18"/>
      <c r="K34" s="5" t="str">
        <f t="shared" si="6"/>
        <v/>
      </c>
      <c r="L34" s="18">
        <v>153</v>
      </c>
      <c r="M34" s="5">
        <f t="shared" si="7"/>
        <v>411</v>
      </c>
      <c r="N34" s="19">
        <v>6.71</v>
      </c>
      <c r="O34" s="5">
        <f t="shared" si="8"/>
        <v>290</v>
      </c>
      <c r="P34" s="19"/>
      <c r="Q34" s="5" t="str">
        <f t="shared" si="9"/>
        <v/>
      </c>
      <c r="R34" s="6">
        <f t="shared" si="1"/>
        <v>1793</v>
      </c>
      <c r="S34" s="20" t="str">
        <f t="shared" si="2"/>
        <v>7.</v>
      </c>
      <c r="V34" s="1">
        <f t="shared" si="3"/>
        <v>4</v>
      </c>
    </row>
    <row r="35" spans="1:22" x14ac:dyDescent="0.2">
      <c r="A35" s="1" t="str">
        <f>IF(C35="","",SUMIF('Číselník škol'!$B$2:$B$11,'CH jednotlivci'!D35,'Číselník škol'!$A$2:$A$11)&amp;"/"&amp;COUNTIF($D$20:D35,D35))</f>
        <v>4/1</v>
      </c>
      <c r="C35" s="7" t="s">
        <v>74</v>
      </c>
      <c r="D35" s="8" t="s">
        <v>63</v>
      </c>
      <c r="E35" s="17">
        <v>8.16</v>
      </c>
      <c r="F35" s="5">
        <f t="shared" si="4"/>
        <v>449</v>
      </c>
      <c r="G35" s="9">
        <v>3</v>
      </c>
      <c r="H35" s="48">
        <v>17.600000000000001</v>
      </c>
      <c r="I35" s="5">
        <f t="shared" si="5"/>
        <v>502</v>
      </c>
      <c r="J35" s="18"/>
      <c r="K35" s="5" t="str">
        <f t="shared" si="6"/>
        <v/>
      </c>
      <c r="L35" s="18">
        <v>157</v>
      </c>
      <c r="M35" s="5">
        <f t="shared" si="7"/>
        <v>441</v>
      </c>
      <c r="N35" s="19"/>
      <c r="O35" s="5" t="str">
        <f t="shared" si="8"/>
        <v/>
      </c>
      <c r="P35" s="19">
        <v>50.45</v>
      </c>
      <c r="Q35" s="5">
        <f t="shared" si="9"/>
        <v>312</v>
      </c>
      <c r="R35" s="6">
        <f t="shared" si="1"/>
        <v>1704</v>
      </c>
      <c r="S35" s="20" t="str">
        <f t="shared" si="2"/>
        <v>13.</v>
      </c>
      <c r="V35" s="1">
        <f t="shared" si="3"/>
        <v>4</v>
      </c>
    </row>
    <row r="36" spans="1:22" x14ac:dyDescent="0.2">
      <c r="A36" s="1" t="str">
        <f>IF(C36="","",SUMIF('Číselník škol'!$B$2:$B$11,'CH jednotlivci'!D36,'Číselník škol'!$A$2:$A$11)&amp;"/"&amp;COUNTIF($D$20:D36,D36))</f>
        <v>4/2</v>
      </c>
      <c r="C36" s="7" t="s">
        <v>75</v>
      </c>
      <c r="D36" s="8" t="s">
        <v>63</v>
      </c>
      <c r="E36" s="17">
        <v>8.58</v>
      </c>
      <c r="F36" s="5">
        <f t="shared" si="4"/>
        <v>345</v>
      </c>
      <c r="G36" s="9">
        <v>3</v>
      </c>
      <c r="H36" s="48">
        <v>34.299999999999997</v>
      </c>
      <c r="I36" s="5">
        <f t="shared" si="5"/>
        <v>368</v>
      </c>
      <c r="J36" s="18"/>
      <c r="K36" s="5" t="str">
        <f t="shared" si="6"/>
        <v/>
      </c>
      <c r="L36" s="18">
        <v>161</v>
      </c>
      <c r="M36" s="5">
        <f t="shared" si="7"/>
        <v>472</v>
      </c>
      <c r="N36" s="19">
        <v>9.0299999999999994</v>
      </c>
      <c r="O36" s="5">
        <f t="shared" si="8"/>
        <v>428</v>
      </c>
      <c r="P36" s="19"/>
      <c r="Q36" s="5" t="str">
        <f t="shared" si="9"/>
        <v/>
      </c>
      <c r="R36" s="6">
        <f t="shared" si="1"/>
        <v>1613</v>
      </c>
      <c r="S36" s="20" t="str">
        <f t="shared" si="2"/>
        <v>19.</v>
      </c>
      <c r="V36" s="1">
        <f t="shared" si="3"/>
        <v>4</v>
      </c>
    </row>
    <row r="37" spans="1:22" x14ac:dyDescent="0.2">
      <c r="A37" s="1" t="str">
        <f>IF(C37="","",SUMIF('Číselník škol'!$B$2:$B$11,'CH jednotlivci'!D37,'Číselník škol'!$A$2:$A$11)&amp;"/"&amp;COUNTIF($D$20:D37,D37))</f>
        <v>4/3</v>
      </c>
      <c r="C37" s="7" t="s">
        <v>76</v>
      </c>
      <c r="D37" s="8" t="s">
        <v>63</v>
      </c>
      <c r="E37" s="17">
        <v>8.57</v>
      </c>
      <c r="F37" s="5">
        <f t="shared" si="4"/>
        <v>347</v>
      </c>
      <c r="G37" s="9">
        <v>4</v>
      </c>
      <c r="H37" s="48">
        <v>4</v>
      </c>
      <c r="I37" s="5">
        <f t="shared" si="5"/>
        <v>177</v>
      </c>
      <c r="J37" s="18"/>
      <c r="K37" s="5" t="str">
        <f t="shared" si="6"/>
        <v/>
      </c>
      <c r="L37" s="18">
        <v>141</v>
      </c>
      <c r="M37" s="5">
        <f t="shared" si="7"/>
        <v>324</v>
      </c>
      <c r="N37" s="19">
        <v>10.23</v>
      </c>
      <c r="O37" s="5">
        <f t="shared" si="8"/>
        <v>499</v>
      </c>
      <c r="P37" s="19"/>
      <c r="Q37" s="5" t="str">
        <f t="shared" si="9"/>
        <v/>
      </c>
      <c r="R37" s="6">
        <f t="shared" si="1"/>
        <v>1347</v>
      </c>
      <c r="S37" s="20" t="str">
        <f t="shared" si="2"/>
        <v>37.</v>
      </c>
      <c r="V37" s="1">
        <f t="shared" si="3"/>
        <v>4</v>
      </c>
    </row>
    <row r="38" spans="1:22" x14ac:dyDescent="0.2">
      <c r="A38" s="1" t="str">
        <f>IF(C38="","",SUMIF('Číselník škol'!$B$2:$B$11,'CH jednotlivci'!D38,'Číselník škol'!$A$2:$A$11)&amp;"/"&amp;COUNTIF($D$20:D38,D38))</f>
        <v>4/4</v>
      </c>
      <c r="C38" s="7" t="s">
        <v>140</v>
      </c>
      <c r="D38" s="8" t="s">
        <v>63</v>
      </c>
      <c r="E38" s="17">
        <v>9.25</v>
      </c>
      <c r="F38" s="5">
        <f t="shared" si="4"/>
        <v>205</v>
      </c>
      <c r="G38" s="9">
        <v>3</v>
      </c>
      <c r="H38" s="48">
        <v>22.4</v>
      </c>
      <c r="I38" s="5">
        <f t="shared" si="5"/>
        <v>462</v>
      </c>
      <c r="J38" s="18">
        <v>443</v>
      </c>
      <c r="K38" s="5">
        <f t="shared" si="6"/>
        <v>278</v>
      </c>
      <c r="L38" s="18"/>
      <c r="M38" s="5" t="str">
        <f t="shared" si="7"/>
        <v/>
      </c>
      <c r="N38" s="19"/>
      <c r="O38" s="5" t="str">
        <f t="shared" si="8"/>
        <v/>
      </c>
      <c r="P38" s="19">
        <v>41.45</v>
      </c>
      <c r="Q38" s="5">
        <f t="shared" si="9"/>
        <v>236</v>
      </c>
      <c r="R38" s="6">
        <f t="shared" si="1"/>
        <v>1181</v>
      </c>
      <c r="S38" s="20" t="str">
        <f t="shared" si="2"/>
        <v>40.</v>
      </c>
      <c r="V38" s="1">
        <f t="shared" si="3"/>
        <v>4</v>
      </c>
    </row>
    <row r="39" spans="1:22" x14ac:dyDescent="0.2">
      <c r="A39" s="1" t="str">
        <f>IF(C39="","",SUMIF('Číselník škol'!$B$2:$B$11,'CH jednotlivci'!D39,'Číselník škol'!$A$2:$A$11)&amp;"/"&amp;COUNTIF($D$20:D39,D39))</f>
        <v>4/5</v>
      </c>
      <c r="C39" s="7" t="s">
        <v>77</v>
      </c>
      <c r="D39" s="8" t="s">
        <v>63</v>
      </c>
      <c r="E39" s="17">
        <v>8.56</v>
      </c>
      <c r="F39" s="5">
        <f t="shared" si="4"/>
        <v>350</v>
      </c>
      <c r="G39" s="9">
        <v>4</v>
      </c>
      <c r="H39" s="48">
        <v>28.1</v>
      </c>
      <c r="I39" s="5">
        <f t="shared" si="5"/>
        <v>70</v>
      </c>
      <c r="J39" s="18">
        <v>480</v>
      </c>
      <c r="K39" s="5">
        <f t="shared" si="6"/>
        <v>345</v>
      </c>
      <c r="L39" s="18"/>
      <c r="M39" s="5" t="str">
        <f t="shared" si="7"/>
        <v/>
      </c>
      <c r="N39" s="19">
        <v>8.07</v>
      </c>
      <c r="O39" s="5">
        <f t="shared" si="8"/>
        <v>370</v>
      </c>
      <c r="P39" s="19"/>
      <c r="Q39" s="5" t="str">
        <f t="shared" si="9"/>
        <v/>
      </c>
      <c r="R39" s="6">
        <f t="shared" si="1"/>
        <v>1135</v>
      </c>
      <c r="S39" s="20" t="str">
        <f t="shared" si="2"/>
        <v>44.</v>
      </c>
      <c r="V39" s="1">
        <f t="shared" si="3"/>
        <v>4</v>
      </c>
    </row>
    <row r="40" spans="1:22" x14ac:dyDescent="0.2">
      <c r="A40" s="1" t="str">
        <f>IF(C40="","",SUMIF('Číselník škol'!$B$2:$B$11,'CH jednotlivci'!D40,'Číselník škol'!$A$2:$A$11)&amp;"/"&amp;COUNTIF($D$20:D40,D40))</f>
        <v>5/1</v>
      </c>
      <c r="C40" s="7" t="s">
        <v>78</v>
      </c>
      <c r="D40" s="8" t="s">
        <v>64</v>
      </c>
      <c r="E40" s="17">
        <v>7.57</v>
      </c>
      <c r="F40" s="5">
        <f t="shared" si="4"/>
        <v>616</v>
      </c>
      <c r="G40" s="9">
        <v>3</v>
      </c>
      <c r="H40" s="48">
        <v>4.2</v>
      </c>
      <c r="I40" s="5">
        <f t="shared" si="5"/>
        <v>624</v>
      </c>
      <c r="J40" s="18"/>
      <c r="K40" s="5" t="str">
        <f t="shared" si="6"/>
        <v/>
      </c>
      <c r="L40" s="18">
        <v>161</v>
      </c>
      <c r="M40" s="5">
        <f t="shared" si="7"/>
        <v>472</v>
      </c>
      <c r="N40" s="19"/>
      <c r="O40" s="5" t="str">
        <f t="shared" si="8"/>
        <v/>
      </c>
      <c r="P40" s="19">
        <v>67.599999999999994</v>
      </c>
      <c r="Q40" s="5">
        <f t="shared" si="9"/>
        <v>460</v>
      </c>
      <c r="R40" s="6">
        <f t="shared" si="1"/>
        <v>2172</v>
      </c>
      <c r="S40" s="20" t="str">
        <f t="shared" si="2"/>
        <v>1.</v>
      </c>
      <c r="V40" s="1">
        <f t="shared" si="3"/>
        <v>4</v>
      </c>
    </row>
    <row r="41" spans="1:22" x14ac:dyDescent="0.2">
      <c r="A41" s="1" t="str">
        <f>IF(C41="","",SUMIF('Číselník škol'!$B$2:$B$11,'CH jednotlivci'!D41,'Číselník škol'!$A$2:$A$11)&amp;"/"&amp;COUNTIF($D$20:D41,D41))</f>
        <v>5/2</v>
      </c>
      <c r="C41" s="7" t="s">
        <v>79</v>
      </c>
      <c r="D41" s="8" t="s">
        <v>64</v>
      </c>
      <c r="E41" s="17">
        <v>7.95</v>
      </c>
      <c r="F41" s="5">
        <f t="shared" si="4"/>
        <v>506</v>
      </c>
      <c r="G41" s="9"/>
      <c r="H41" s="48"/>
      <c r="I41" s="5" t="str">
        <f t="shared" si="5"/>
        <v/>
      </c>
      <c r="J41" s="18">
        <v>476</v>
      </c>
      <c r="K41" s="5">
        <f t="shared" si="6"/>
        <v>337</v>
      </c>
      <c r="L41" s="18"/>
      <c r="M41" s="5" t="str">
        <f t="shared" si="7"/>
        <v/>
      </c>
      <c r="N41" s="19"/>
      <c r="O41" s="5" t="str">
        <f t="shared" si="8"/>
        <v/>
      </c>
      <c r="P41" s="19">
        <v>61.8</v>
      </c>
      <c r="Q41" s="5">
        <f t="shared" si="9"/>
        <v>409</v>
      </c>
      <c r="R41" s="6">
        <f t="shared" si="1"/>
        <v>1252</v>
      </c>
      <c r="S41" s="20" t="str">
        <f t="shared" si="2"/>
        <v>38.</v>
      </c>
      <c r="V41" s="1">
        <f t="shared" si="3"/>
        <v>3</v>
      </c>
    </row>
    <row r="42" spans="1:22" x14ac:dyDescent="0.2">
      <c r="A42" s="1" t="str">
        <f>IF(C42="","",SUMIF('Číselník škol'!$B$2:$B$11,'CH jednotlivci'!D42,'Číselník škol'!$A$2:$A$11)&amp;"/"&amp;COUNTIF($D$20:D42,D42))</f>
        <v>5/3</v>
      </c>
      <c r="C42" s="7" t="s">
        <v>80</v>
      </c>
      <c r="D42" s="8" t="s">
        <v>64</v>
      </c>
      <c r="E42" s="17">
        <v>7.97</v>
      </c>
      <c r="F42" s="5">
        <f t="shared" si="4"/>
        <v>500</v>
      </c>
      <c r="G42" s="9">
        <v>3</v>
      </c>
      <c r="H42" s="48">
        <v>15.3</v>
      </c>
      <c r="I42" s="5">
        <f t="shared" si="5"/>
        <v>522</v>
      </c>
      <c r="J42" s="18">
        <v>469</v>
      </c>
      <c r="K42" s="5">
        <f t="shared" si="6"/>
        <v>324</v>
      </c>
      <c r="L42" s="18"/>
      <c r="M42" s="5" t="str">
        <f t="shared" si="7"/>
        <v/>
      </c>
      <c r="N42" s="19"/>
      <c r="O42" s="5" t="str">
        <f t="shared" si="8"/>
        <v/>
      </c>
      <c r="P42" s="19">
        <v>65</v>
      </c>
      <c r="Q42" s="5">
        <f t="shared" si="9"/>
        <v>437</v>
      </c>
      <c r="R42" s="6">
        <f t="shared" si="1"/>
        <v>1783</v>
      </c>
      <c r="S42" s="20" t="str">
        <f t="shared" si="2"/>
        <v>8.</v>
      </c>
      <c r="V42" s="1">
        <f t="shared" si="3"/>
        <v>4</v>
      </c>
    </row>
    <row r="43" spans="1:22" x14ac:dyDescent="0.2">
      <c r="A43" s="1" t="str">
        <f>IF(C43="","",SUMIF('Číselník škol'!$B$2:$B$11,'CH jednotlivci'!D43,'Číselník škol'!$A$2:$A$11)&amp;"/"&amp;COUNTIF($D$20:D43,D43))</f>
        <v>5/4</v>
      </c>
      <c r="C43" s="7" t="s">
        <v>81</v>
      </c>
      <c r="D43" s="8" t="s">
        <v>64</v>
      </c>
      <c r="E43" s="17">
        <v>8.44</v>
      </c>
      <c r="F43" s="5">
        <f t="shared" si="4"/>
        <v>378</v>
      </c>
      <c r="G43" s="9">
        <v>3</v>
      </c>
      <c r="H43" s="48">
        <v>14.3</v>
      </c>
      <c r="I43" s="5">
        <f t="shared" si="5"/>
        <v>531</v>
      </c>
      <c r="J43" s="18">
        <v>417</v>
      </c>
      <c r="K43" s="5">
        <f t="shared" si="6"/>
        <v>234</v>
      </c>
      <c r="L43" s="18"/>
      <c r="M43" s="5" t="str">
        <f t="shared" si="7"/>
        <v/>
      </c>
      <c r="N43" s="19">
        <v>7.53</v>
      </c>
      <c r="O43" s="5">
        <f t="shared" si="8"/>
        <v>339</v>
      </c>
      <c r="P43" s="19"/>
      <c r="Q43" s="5" t="str">
        <f t="shared" si="9"/>
        <v/>
      </c>
      <c r="R43" s="6">
        <f t="shared" si="1"/>
        <v>1482</v>
      </c>
      <c r="S43" s="20" t="str">
        <f t="shared" si="2"/>
        <v>30.</v>
      </c>
      <c r="V43" s="1">
        <f t="shared" si="3"/>
        <v>4</v>
      </c>
    </row>
    <row r="44" spans="1:22" x14ac:dyDescent="0.2">
      <c r="A44" s="1" t="str">
        <f>IF(C44="","",SUMIF('Číselník škol'!$B$2:$B$11,'CH jednotlivci'!D44,'Číselník škol'!$A$2:$A$11)&amp;"/"&amp;COUNTIF($D$20:D44,D44))</f>
        <v>5/5</v>
      </c>
      <c r="C44" s="7" t="s">
        <v>82</v>
      </c>
      <c r="D44" s="8" t="s">
        <v>64</v>
      </c>
      <c r="E44" s="17">
        <v>8.36</v>
      </c>
      <c r="F44" s="5">
        <f t="shared" si="4"/>
        <v>398</v>
      </c>
      <c r="G44" s="9">
        <v>3</v>
      </c>
      <c r="H44" s="48">
        <v>19.899999999999999</v>
      </c>
      <c r="I44" s="5">
        <f t="shared" si="5"/>
        <v>482</v>
      </c>
      <c r="J44" s="18"/>
      <c r="K44" s="5" t="str">
        <f t="shared" si="6"/>
        <v/>
      </c>
      <c r="L44" s="18">
        <v>141</v>
      </c>
      <c r="M44" s="5">
        <f t="shared" si="7"/>
        <v>324</v>
      </c>
      <c r="N44" s="19">
        <v>7.48</v>
      </c>
      <c r="O44" s="5">
        <f t="shared" si="8"/>
        <v>336</v>
      </c>
      <c r="P44" s="19"/>
      <c r="Q44" s="5" t="str">
        <f t="shared" si="9"/>
        <v/>
      </c>
      <c r="R44" s="6">
        <f t="shared" si="1"/>
        <v>1540</v>
      </c>
      <c r="S44" s="20" t="str">
        <f t="shared" si="2"/>
        <v>23.</v>
      </c>
      <c r="V44" s="1">
        <f t="shared" si="3"/>
        <v>4</v>
      </c>
    </row>
    <row r="45" spans="1:22" x14ac:dyDescent="0.2">
      <c r="A45" s="1" t="str">
        <f>IF(C45="","",SUMIF('Číselník škol'!$B$2:$B$11,'CH jednotlivci'!D45,'Číselník škol'!$A$2:$A$11)&amp;"/"&amp;COUNTIF($D$20:D45,D45))</f>
        <v>6/1</v>
      </c>
      <c r="C45" s="7" t="s">
        <v>83</v>
      </c>
      <c r="D45" s="8" t="s">
        <v>65</v>
      </c>
      <c r="E45" s="17">
        <v>8.11</v>
      </c>
      <c r="F45" s="5">
        <f t="shared" si="4"/>
        <v>462</v>
      </c>
      <c r="G45" s="9">
        <v>3</v>
      </c>
      <c r="H45" s="48">
        <v>13.1</v>
      </c>
      <c r="I45" s="5">
        <f t="shared" si="5"/>
        <v>542</v>
      </c>
      <c r="J45" s="18"/>
      <c r="K45" s="5" t="str">
        <f t="shared" si="6"/>
        <v/>
      </c>
      <c r="L45" s="18">
        <v>145</v>
      </c>
      <c r="M45" s="5">
        <f t="shared" si="7"/>
        <v>352</v>
      </c>
      <c r="N45" s="19"/>
      <c r="O45" s="5" t="str">
        <f t="shared" si="8"/>
        <v/>
      </c>
      <c r="P45" s="19">
        <v>61.2</v>
      </c>
      <c r="Q45" s="5">
        <f t="shared" si="9"/>
        <v>404</v>
      </c>
      <c r="R45" s="6">
        <f t="shared" si="1"/>
        <v>1760</v>
      </c>
      <c r="S45" s="20" t="str">
        <f t="shared" si="2"/>
        <v>10.</v>
      </c>
      <c r="V45" s="1">
        <f t="shared" si="3"/>
        <v>4</v>
      </c>
    </row>
    <row r="46" spans="1:22" x14ac:dyDescent="0.2">
      <c r="A46" s="1" t="str">
        <f>IF(C46="","",SUMIF('Číselník škol'!$B$2:$B$11,'CH jednotlivci'!D46,'Číselník škol'!$A$2:$A$11)&amp;"/"&amp;COUNTIF($D$20:D46,D46))</f>
        <v>6/2</v>
      </c>
      <c r="C46" s="7" t="s">
        <v>84</v>
      </c>
      <c r="D46" s="8" t="s">
        <v>65</v>
      </c>
      <c r="E46" s="17">
        <v>8.34</v>
      </c>
      <c r="F46" s="5">
        <f t="shared" si="4"/>
        <v>403</v>
      </c>
      <c r="G46" s="9">
        <v>3</v>
      </c>
      <c r="H46" s="48">
        <v>26.7</v>
      </c>
      <c r="I46" s="5">
        <f t="shared" si="5"/>
        <v>427</v>
      </c>
      <c r="J46" s="18"/>
      <c r="K46" s="5" t="str">
        <f t="shared" si="6"/>
        <v/>
      </c>
      <c r="L46" s="18">
        <v>141</v>
      </c>
      <c r="M46" s="5">
        <f t="shared" si="7"/>
        <v>324</v>
      </c>
      <c r="N46" s="19">
        <v>7.83</v>
      </c>
      <c r="O46" s="5">
        <f t="shared" si="8"/>
        <v>356</v>
      </c>
      <c r="P46" s="19"/>
      <c r="Q46" s="5" t="str">
        <f t="shared" si="9"/>
        <v/>
      </c>
      <c r="R46" s="6">
        <f t="shared" si="1"/>
        <v>1510</v>
      </c>
      <c r="S46" s="20" t="str">
        <f t="shared" si="2"/>
        <v>27.</v>
      </c>
      <c r="V46" s="1">
        <f t="shared" si="3"/>
        <v>4</v>
      </c>
    </row>
    <row r="47" spans="1:22" x14ac:dyDescent="0.2">
      <c r="A47" s="1" t="str">
        <f>IF(C47="","",SUMIF('Číselník škol'!$B$2:$B$11,'CH jednotlivci'!D47,'Číselník škol'!$A$2:$A$11)&amp;"/"&amp;COUNTIF($D$20:D47,D47))</f>
        <v>6/3</v>
      </c>
      <c r="C47" s="7" t="s">
        <v>142</v>
      </c>
      <c r="D47" s="8" t="s">
        <v>65</v>
      </c>
      <c r="E47" s="17">
        <v>8.57</v>
      </c>
      <c r="F47" s="5">
        <f t="shared" si="4"/>
        <v>347</v>
      </c>
      <c r="G47" s="9">
        <v>3</v>
      </c>
      <c r="H47" s="48">
        <v>21.8</v>
      </c>
      <c r="I47" s="5">
        <f t="shared" si="5"/>
        <v>467</v>
      </c>
      <c r="J47" s="18">
        <v>417</v>
      </c>
      <c r="K47" s="5">
        <f t="shared" si="6"/>
        <v>234</v>
      </c>
      <c r="L47" s="18"/>
      <c r="M47" s="5" t="str">
        <f t="shared" si="7"/>
        <v/>
      </c>
      <c r="N47" s="19"/>
      <c r="O47" s="5" t="str">
        <f t="shared" si="8"/>
        <v/>
      </c>
      <c r="P47" s="19">
        <v>56.8</v>
      </c>
      <c r="Q47" s="5">
        <f t="shared" si="9"/>
        <v>366</v>
      </c>
      <c r="R47" s="6">
        <f t="shared" si="1"/>
        <v>1414</v>
      </c>
      <c r="S47" s="20" t="str">
        <f t="shared" si="2"/>
        <v>34.</v>
      </c>
      <c r="V47" s="1">
        <f t="shared" si="3"/>
        <v>4</v>
      </c>
    </row>
    <row r="48" spans="1:22" x14ac:dyDescent="0.2">
      <c r="A48" s="1" t="str">
        <f>IF(C48="","",SUMIF('Číselník škol'!$B$2:$B$11,'CH jednotlivci'!D48,'Číselník škol'!$A$2:$A$11)&amp;"/"&amp;COUNTIF($D$20:D48,D48))</f>
        <v>6/4</v>
      </c>
      <c r="C48" s="7" t="s">
        <v>85</v>
      </c>
      <c r="D48" s="8" t="s">
        <v>65</v>
      </c>
      <c r="E48" s="17">
        <v>7.91</v>
      </c>
      <c r="F48" s="5">
        <f t="shared" si="4"/>
        <v>517</v>
      </c>
      <c r="G48" s="9">
        <v>3</v>
      </c>
      <c r="H48" s="48">
        <v>13.5</v>
      </c>
      <c r="I48" s="5">
        <f t="shared" si="5"/>
        <v>538</v>
      </c>
      <c r="J48" s="18">
        <v>502</v>
      </c>
      <c r="K48" s="5">
        <f t="shared" si="6"/>
        <v>386</v>
      </c>
      <c r="L48" s="18"/>
      <c r="M48" s="5" t="str">
        <f t="shared" si="7"/>
        <v/>
      </c>
      <c r="N48" s="19">
        <v>10.19</v>
      </c>
      <c r="O48" s="5">
        <f t="shared" si="8"/>
        <v>497</v>
      </c>
      <c r="P48" s="19"/>
      <c r="Q48" s="5" t="str">
        <f t="shared" si="9"/>
        <v/>
      </c>
      <c r="R48" s="6">
        <f t="shared" si="1"/>
        <v>1938</v>
      </c>
      <c r="S48" s="20" t="str">
        <f t="shared" si="2"/>
        <v>3.</v>
      </c>
      <c r="V48" s="1">
        <f t="shared" si="3"/>
        <v>4</v>
      </c>
    </row>
    <row r="49" spans="1:22" x14ac:dyDescent="0.2">
      <c r="A49" s="1" t="str">
        <f>IF(C49="","",SUMIF('Číselník škol'!$B$2:$B$11,'CH jednotlivci'!D49,'Číselník škol'!$A$2:$A$11)&amp;"/"&amp;COUNTIF($D$20:D49,D49))</f>
        <v>6/5</v>
      </c>
      <c r="C49" s="7" t="s">
        <v>86</v>
      </c>
      <c r="D49" s="8" t="s">
        <v>65</v>
      </c>
      <c r="E49" s="17">
        <v>8.1300000000000008</v>
      </c>
      <c r="F49" s="5">
        <f t="shared" si="4"/>
        <v>457</v>
      </c>
      <c r="G49" s="9">
        <v>3</v>
      </c>
      <c r="H49" s="48">
        <v>29.6</v>
      </c>
      <c r="I49" s="5">
        <f t="shared" ref="I49:I112" si="10">IF(G49="","",IF(G49*60+H49&gt;305.5,0,INT(0.08713*POWER(305.5-(G49*60+H49),1.85))))</f>
        <v>404</v>
      </c>
      <c r="J49" s="18">
        <v>472</v>
      </c>
      <c r="K49" s="5">
        <f t="shared" si="6"/>
        <v>330</v>
      </c>
      <c r="L49" s="18"/>
      <c r="M49" s="5" t="str">
        <f t="shared" si="7"/>
        <v/>
      </c>
      <c r="N49" s="19"/>
      <c r="O49" s="5" t="str">
        <f t="shared" si="8"/>
        <v/>
      </c>
      <c r="P49" s="19">
        <v>50.6</v>
      </c>
      <c r="Q49" s="5">
        <f t="shared" si="9"/>
        <v>313</v>
      </c>
      <c r="R49" s="6">
        <f t="shared" si="1"/>
        <v>1504</v>
      </c>
      <c r="S49" s="20" t="str">
        <f t="shared" si="2"/>
        <v>28.</v>
      </c>
      <c r="V49" s="1">
        <f t="shared" si="3"/>
        <v>4</v>
      </c>
    </row>
    <row r="50" spans="1:22" x14ac:dyDescent="0.2">
      <c r="A50" s="1" t="str">
        <f>IF(C50="","",SUMIF('Číselník škol'!$B$2:$B$11,'CH jednotlivci'!D50,'Číselník škol'!$A$2:$A$11)&amp;"/"&amp;COUNTIF($D$20:D50,D50))</f>
        <v>7/1</v>
      </c>
      <c r="C50" s="7" t="s">
        <v>87</v>
      </c>
      <c r="D50" s="8" t="s">
        <v>66</v>
      </c>
      <c r="E50" s="17">
        <v>8.1300000000000008</v>
      </c>
      <c r="F50" s="5">
        <f t="shared" si="4"/>
        <v>457</v>
      </c>
      <c r="G50" s="9">
        <v>3</v>
      </c>
      <c r="H50" s="48">
        <v>11.5</v>
      </c>
      <c r="I50" s="5">
        <f t="shared" si="10"/>
        <v>556</v>
      </c>
      <c r="J50" s="18"/>
      <c r="K50" s="5" t="str">
        <f t="shared" si="6"/>
        <v/>
      </c>
      <c r="L50" s="18">
        <v>157</v>
      </c>
      <c r="M50" s="5">
        <f t="shared" si="7"/>
        <v>441</v>
      </c>
      <c r="N50" s="19">
        <v>11.34</v>
      </c>
      <c r="O50" s="5">
        <f t="shared" si="8"/>
        <v>566</v>
      </c>
      <c r="P50" s="19"/>
      <c r="Q50" s="5" t="str">
        <f t="shared" si="9"/>
        <v/>
      </c>
      <c r="R50" s="6">
        <f t="shared" si="1"/>
        <v>2020</v>
      </c>
      <c r="S50" s="20" t="str">
        <f t="shared" si="2"/>
        <v>2.</v>
      </c>
      <c r="V50" s="1">
        <f t="shared" si="3"/>
        <v>4</v>
      </c>
    </row>
    <row r="51" spans="1:22" x14ac:dyDescent="0.2">
      <c r="A51" s="1" t="str">
        <f>IF(C51="","",SUMIF('Číselník škol'!$B$2:$B$11,'CH jednotlivci'!D51,'Číselník škol'!$A$2:$A$11)&amp;"/"&amp;COUNTIF($D$20:D51,D51))</f>
        <v>7/2</v>
      </c>
      <c r="C51" s="7" t="s">
        <v>88</v>
      </c>
      <c r="D51" s="8" t="s">
        <v>66</v>
      </c>
      <c r="E51" s="17">
        <v>7.9</v>
      </c>
      <c r="F51" s="5">
        <f t="shared" si="4"/>
        <v>520</v>
      </c>
      <c r="G51" s="9">
        <v>3</v>
      </c>
      <c r="H51" s="48">
        <v>25</v>
      </c>
      <c r="I51" s="5">
        <f t="shared" si="10"/>
        <v>440</v>
      </c>
      <c r="J51" s="18">
        <v>525</v>
      </c>
      <c r="K51" s="5">
        <f t="shared" si="6"/>
        <v>431</v>
      </c>
      <c r="L51" s="18"/>
      <c r="M51" s="5" t="str">
        <f t="shared" si="7"/>
        <v/>
      </c>
      <c r="N51" s="19"/>
      <c r="O51" s="5" t="str">
        <f t="shared" si="8"/>
        <v/>
      </c>
      <c r="P51" s="19">
        <v>58</v>
      </c>
      <c r="Q51" s="5">
        <f t="shared" si="9"/>
        <v>376</v>
      </c>
      <c r="R51" s="6">
        <f t="shared" si="1"/>
        <v>1767</v>
      </c>
      <c r="S51" s="20" t="str">
        <f t="shared" si="2"/>
        <v>9.</v>
      </c>
      <c r="V51" s="1">
        <f t="shared" si="3"/>
        <v>4</v>
      </c>
    </row>
    <row r="52" spans="1:22" x14ac:dyDescent="0.2">
      <c r="A52" s="1" t="str">
        <f>IF(C52="","",SUMIF('Číselník škol'!$B$2:$B$11,'CH jednotlivci'!D52,'Číselník škol'!$A$2:$A$11)&amp;"/"&amp;COUNTIF($D$20:D52,D52))</f>
        <v>7/3</v>
      </c>
      <c r="C52" s="7" t="s">
        <v>89</v>
      </c>
      <c r="D52" s="8" t="s">
        <v>66</v>
      </c>
      <c r="E52" s="17">
        <v>7.98</v>
      </c>
      <c r="F52" s="5">
        <f t="shared" si="4"/>
        <v>498</v>
      </c>
      <c r="G52" s="9">
        <v>3</v>
      </c>
      <c r="H52" s="48">
        <v>44.6</v>
      </c>
      <c r="I52" s="5">
        <f t="shared" si="10"/>
        <v>295</v>
      </c>
      <c r="J52" s="18">
        <v>503</v>
      </c>
      <c r="K52" s="5">
        <f t="shared" si="6"/>
        <v>388</v>
      </c>
      <c r="L52" s="18"/>
      <c r="M52" s="5" t="str">
        <f t="shared" si="7"/>
        <v/>
      </c>
      <c r="N52" s="19"/>
      <c r="O52" s="5" t="str">
        <f t="shared" si="8"/>
        <v/>
      </c>
      <c r="P52" s="19">
        <v>61.2</v>
      </c>
      <c r="Q52" s="5">
        <f t="shared" si="9"/>
        <v>404</v>
      </c>
      <c r="R52" s="6">
        <f t="shared" si="1"/>
        <v>1585</v>
      </c>
      <c r="S52" s="20" t="str">
        <f t="shared" si="2"/>
        <v>20.</v>
      </c>
      <c r="V52" s="1">
        <f t="shared" si="3"/>
        <v>4</v>
      </c>
    </row>
    <row r="53" spans="1:22" x14ac:dyDescent="0.2">
      <c r="A53" s="1" t="str">
        <f>IF(C53="","",SUMIF('Číselník škol'!$B$2:$B$11,'CH jednotlivci'!D53,'Číselník škol'!$A$2:$A$11)&amp;"/"&amp;COUNTIF($D$20:D53,D53))</f>
        <v>7/4</v>
      </c>
      <c r="C53" s="7" t="s">
        <v>90</v>
      </c>
      <c r="D53" s="8" t="s">
        <v>66</v>
      </c>
      <c r="E53" s="17">
        <v>8.18</v>
      </c>
      <c r="F53" s="5">
        <f t="shared" si="4"/>
        <v>444</v>
      </c>
      <c r="G53" s="9">
        <v>3</v>
      </c>
      <c r="H53" s="48">
        <v>22.2</v>
      </c>
      <c r="I53" s="5">
        <f t="shared" si="10"/>
        <v>463</v>
      </c>
      <c r="J53" s="18">
        <v>492</v>
      </c>
      <c r="K53" s="5">
        <f t="shared" si="6"/>
        <v>367</v>
      </c>
      <c r="L53" s="18"/>
      <c r="M53" s="5" t="str">
        <f t="shared" si="7"/>
        <v/>
      </c>
      <c r="N53" s="19">
        <v>8.85</v>
      </c>
      <c r="O53" s="5">
        <f t="shared" si="8"/>
        <v>417</v>
      </c>
      <c r="P53" s="19"/>
      <c r="Q53" s="5" t="str">
        <f t="shared" si="9"/>
        <v/>
      </c>
      <c r="R53" s="6">
        <f t="shared" si="1"/>
        <v>1691</v>
      </c>
      <c r="S53" s="20" t="str">
        <f t="shared" si="2"/>
        <v>14.</v>
      </c>
      <c r="V53" s="1">
        <f t="shared" si="3"/>
        <v>4</v>
      </c>
    </row>
    <row r="54" spans="1:22" x14ac:dyDescent="0.2">
      <c r="A54" s="1" t="str">
        <f>IF(C54="","",SUMIF('Číselník škol'!$B$2:$B$11,'CH jednotlivci'!D54,'Číselník škol'!$A$2:$A$11)&amp;"/"&amp;COUNTIF($D$20:D54,D54))</f>
        <v>7/5</v>
      </c>
      <c r="C54" s="7" t="s">
        <v>91</v>
      </c>
      <c r="D54" s="8" t="s">
        <v>66</v>
      </c>
      <c r="E54" s="17">
        <v>8.33</v>
      </c>
      <c r="F54" s="5">
        <f t="shared" si="4"/>
        <v>406</v>
      </c>
      <c r="G54" s="9">
        <v>3</v>
      </c>
      <c r="H54" s="48">
        <v>24.5</v>
      </c>
      <c r="I54" s="5">
        <f t="shared" si="10"/>
        <v>444</v>
      </c>
      <c r="J54" s="18"/>
      <c r="K54" s="5" t="str">
        <f t="shared" si="6"/>
        <v/>
      </c>
      <c r="L54" s="18">
        <v>157</v>
      </c>
      <c r="M54" s="5">
        <f t="shared" si="7"/>
        <v>441</v>
      </c>
      <c r="N54" s="19">
        <v>8.9</v>
      </c>
      <c r="O54" s="5">
        <f t="shared" si="8"/>
        <v>420</v>
      </c>
      <c r="P54" s="19"/>
      <c r="Q54" s="5" t="str">
        <f t="shared" si="9"/>
        <v/>
      </c>
      <c r="R54" s="6">
        <f t="shared" si="1"/>
        <v>1711</v>
      </c>
      <c r="S54" s="20" t="str">
        <f t="shared" si="2"/>
        <v>12.</v>
      </c>
      <c r="V54" s="1">
        <f t="shared" si="3"/>
        <v>4</v>
      </c>
    </row>
    <row r="55" spans="1:22" x14ac:dyDescent="0.2">
      <c r="A55" s="1" t="str">
        <f>IF(C55="","",SUMIF('Číselník škol'!$B$2:$B$11,'CH jednotlivci'!D55,'Číselník škol'!$A$2:$A$11)&amp;"/"&amp;COUNTIF($D$20:D55,D55))</f>
        <v>8/1</v>
      </c>
      <c r="C55" s="7" t="s">
        <v>92</v>
      </c>
      <c r="D55" s="8" t="s">
        <v>67</v>
      </c>
      <c r="E55" s="17">
        <v>8.92</v>
      </c>
      <c r="F55" s="5">
        <f t="shared" si="4"/>
        <v>270</v>
      </c>
      <c r="G55" s="9">
        <v>4</v>
      </c>
      <c r="H55" s="48">
        <v>2.9</v>
      </c>
      <c r="I55" s="5">
        <f t="shared" si="10"/>
        <v>183</v>
      </c>
      <c r="J55" s="18"/>
      <c r="K55" s="5" t="str">
        <f t="shared" si="6"/>
        <v/>
      </c>
      <c r="L55" s="18">
        <v>137</v>
      </c>
      <c r="M55" s="5">
        <f t="shared" si="7"/>
        <v>297</v>
      </c>
      <c r="N55" s="19"/>
      <c r="O55" s="5" t="str">
        <f t="shared" si="8"/>
        <v/>
      </c>
      <c r="P55" s="19">
        <v>35.9</v>
      </c>
      <c r="Q55" s="5">
        <f t="shared" si="9"/>
        <v>191</v>
      </c>
      <c r="R55" s="6">
        <f t="shared" si="1"/>
        <v>941</v>
      </c>
      <c r="S55" s="20" t="str">
        <f t="shared" si="2"/>
        <v>50.</v>
      </c>
      <c r="V55" s="1">
        <f t="shared" si="3"/>
        <v>4</v>
      </c>
    </row>
    <row r="56" spans="1:22" x14ac:dyDescent="0.2">
      <c r="A56" s="1" t="str">
        <f>IF(C56="","",SUMIF('Číselník škol'!$B$2:$B$11,'CH jednotlivci'!D56,'Číselník škol'!$A$2:$A$11)&amp;"/"&amp;COUNTIF($D$20:D56,D56))</f>
        <v>8/2</v>
      </c>
      <c r="C56" s="7" t="s">
        <v>93</v>
      </c>
      <c r="D56" s="8" t="s">
        <v>67</v>
      </c>
      <c r="E56" s="17">
        <v>8.3000000000000007</v>
      </c>
      <c r="F56" s="5">
        <f t="shared" si="4"/>
        <v>413</v>
      </c>
      <c r="G56" s="9">
        <v>3</v>
      </c>
      <c r="H56" s="48">
        <v>23.5</v>
      </c>
      <c r="I56" s="5">
        <f t="shared" si="10"/>
        <v>452</v>
      </c>
      <c r="J56" s="18"/>
      <c r="K56" s="5" t="str">
        <f t="shared" si="6"/>
        <v/>
      </c>
      <c r="L56" s="18">
        <v>133</v>
      </c>
      <c r="M56" s="5">
        <f t="shared" si="7"/>
        <v>270</v>
      </c>
      <c r="N56" s="19">
        <v>8.34</v>
      </c>
      <c r="O56" s="5">
        <f t="shared" si="8"/>
        <v>386</v>
      </c>
      <c r="P56" s="19"/>
      <c r="Q56" s="5" t="str">
        <f t="shared" si="9"/>
        <v/>
      </c>
      <c r="R56" s="6">
        <f t="shared" si="1"/>
        <v>1521</v>
      </c>
      <c r="S56" s="20" t="str">
        <f t="shared" si="2"/>
        <v>24.</v>
      </c>
      <c r="V56" s="1">
        <f t="shared" si="3"/>
        <v>4</v>
      </c>
    </row>
    <row r="57" spans="1:22" x14ac:dyDescent="0.2">
      <c r="A57" s="1" t="str">
        <f>IF(C57="","",SUMIF('Číselník škol'!$B$2:$B$11,'CH jednotlivci'!D57,'Číselník škol'!$A$2:$A$11)&amp;"/"&amp;COUNTIF($D$20:D57,D57))</f>
        <v>8/3</v>
      </c>
      <c r="C57" s="7" t="s">
        <v>94</v>
      </c>
      <c r="D57" s="8" t="s">
        <v>67</v>
      </c>
      <c r="E57" s="17">
        <v>8.4</v>
      </c>
      <c r="F57" s="5">
        <f t="shared" si="4"/>
        <v>388</v>
      </c>
      <c r="G57" s="9">
        <v>3</v>
      </c>
      <c r="H57" s="48">
        <v>16.600000000000001</v>
      </c>
      <c r="I57" s="5">
        <f t="shared" si="10"/>
        <v>511</v>
      </c>
      <c r="J57" s="18">
        <v>427</v>
      </c>
      <c r="K57" s="5">
        <f t="shared" si="6"/>
        <v>250</v>
      </c>
      <c r="L57" s="18"/>
      <c r="M57" s="5" t="str">
        <f t="shared" si="7"/>
        <v/>
      </c>
      <c r="N57" s="19"/>
      <c r="O57" s="5" t="str">
        <f t="shared" si="8"/>
        <v/>
      </c>
      <c r="P57" s="19">
        <v>48.6</v>
      </c>
      <c r="Q57" s="5">
        <f t="shared" si="9"/>
        <v>296</v>
      </c>
      <c r="R57" s="6">
        <f t="shared" si="1"/>
        <v>1445</v>
      </c>
      <c r="S57" s="20" t="str">
        <f t="shared" si="2"/>
        <v>32.</v>
      </c>
      <c r="V57" s="1">
        <f t="shared" si="3"/>
        <v>4</v>
      </c>
    </row>
    <row r="58" spans="1:22" x14ac:dyDescent="0.2">
      <c r="A58" s="1" t="str">
        <f>IF(C58="","",SUMIF('Číselník škol'!$B$2:$B$11,'CH jednotlivci'!D58,'Číselník škol'!$A$2:$A$11)&amp;"/"&amp;COUNTIF($D$20:D58,D58))</f>
        <v>8/4</v>
      </c>
      <c r="C58" s="7" t="s">
        <v>95</v>
      </c>
      <c r="D58" s="8" t="s">
        <v>67</v>
      </c>
      <c r="E58" s="17">
        <v>8.06</v>
      </c>
      <c r="F58" s="5">
        <f t="shared" si="4"/>
        <v>476</v>
      </c>
      <c r="G58" s="9">
        <v>3</v>
      </c>
      <c r="H58" s="48">
        <v>44.9</v>
      </c>
      <c r="I58" s="5">
        <f t="shared" si="10"/>
        <v>293</v>
      </c>
      <c r="J58" s="18">
        <v>447</v>
      </c>
      <c r="K58" s="5">
        <f t="shared" si="6"/>
        <v>285</v>
      </c>
      <c r="L58" s="18"/>
      <c r="M58" s="5" t="str">
        <f t="shared" si="7"/>
        <v/>
      </c>
      <c r="N58" s="19">
        <v>9.67</v>
      </c>
      <c r="O58" s="5">
        <f t="shared" si="8"/>
        <v>466</v>
      </c>
      <c r="P58" s="19"/>
      <c r="Q58" s="5" t="str">
        <f t="shared" si="9"/>
        <v/>
      </c>
      <c r="R58" s="6">
        <f t="shared" si="1"/>
        <v>1520</v>
      </c>
      <c r="S58" s="20" t="str">
        <f t="shared" si="2"/>
        <v>25.</v>
      </c>
      <c r="V58" s="1">
        <f t="shared" si="3"/>
        <v>4</v>
      </c>
    </row>
    <row r="59" spans="1:22" x14ac:dyDescent="0.2">
      <c r="A59" s="1" t="str">
        <f>IF(C59="","",SUMIF('Číselník škol'!$B$2:$B$11,'CH jednotlivci'!D59,'Číselník škol'!$A$2:$A$11)&amp;"/"&amp;COUNTIF($D$20:D59,D59))</f>
        <v>8/5</v>
      </c>
      <c r="C59" s="7" t="s">
        <v>96</v>
      </c>
      <c r="D59" s="8" t="s">
        <v>67</v>
      </c>
      <c r="E59" s="17">
        <v>8.17</v>
      </c>
      <c r="F59" s="5">
        <f t="shared" si="4"/>
        <v>447</v>
      </c>
      <c r="G59" s="9">
        <v>3</v>
      </c>
      <c r="H59" s="48">
        <v>13.7</v>
      </c>
      <c r="I59" s="5">
        <f t="shared" si="10"/>
        <v>536</v>
      </c>
      <c r="J59" s="18"/>
      <c r="K59" s="5" t="str">
        <f t="shared" si="6"/>
        <v/>
      </c>
      <c r="L59" s="18">
        <v>141</v>
      </c>
      <c r="M59" s="5">
        <f t="shared" si="7"/>
        <v>324</v>
      </c>
      <c r="N59" s="19"/>
      <c r="O59" s="5" t="str">
        <f t="shared" si="8"/>
        <v/>
      </c>
      <c r="P59" s="19">
        <v>44</v>
      </c>
      <c r="Q59" s="5">
        <f t="shared" si="9"/>
        <v>257</v>
      </c>
      <c r="R59" s="6">
        <f t="shared" si="1"/>
        <v>1564</v>
      </c>
      <c r="S59" s="20" t="str">
        <f t="shared" si="2"/>
        <v>22.</v>
      </c>
      <c r="V59" s="1">
        <f t="shared" si="3"/>
        <v>4</v>
      </c>
    </row>
    <row r="60" spans="1:22" x14ac:dyDescent="0.2">
      <c r="A60" s="1" t="str">
        <f>IF(C60="","",SUMIF('Číselník škol'!$B$2:$B$11,'CH jednotlivci'!D60,'Číselník škol'!$A$2:$A$11)&amp;"/"&amp;COUNTIF($D$20:D60,D60))</f>
        <v>9/1</v>
      </c>
      <c r="C60" s="7" t="s">
        <v>97</v>
      </c>
      <c r="D60" s="8" t="s">
        <v>68</v>
      </c>
      <c r="E60" s="17">
        <v>8.15</v>
      </c>
      <c r="F60" s="5">
        <f t="shared" si="4"/>
        <v>452</v>
      </c>
      <c r="G60" s="9">
        <v>3</v>
      </c>
      <c r="H60" s="48">
        <v>23</v>
      </c>
      <c r="I60" s="5">
        <f t="shared" si="10"/>
        <v>457</v>
      </c>
      <c r="J60" s="18">
        <v>485</v>
      </c>
      <c r="K60" s="5">
        <f t="shared" si="6"/>
        <v>354</v>
      </c>
      <c r="L60" s="18"/>
      <c r="M60" s="5" t="str">
        <f t="shared" si="7"/>
        <v/>
      </c>
      <c r="N60" s="19">
        <v>8.0299999999999994</v>
      </c>
      <c r="O60" s="5">
        <f t="shared" si="8"/>
        <v>368</v>
      </c>
      <c r="P60" s="19"/>
      <c r="Q60" s="5" t="str">
        <f t="shared" si="9"/>
        <v/>
      </c>
      <c r="R60" s="6">
        <f t="shared" si="1"/>
        <v>1631</v>
      </c>
      <c r="S60" s="20" t="str">
        <f t="shared" si="2"/>
        <v>17.</v>
      </c>
      <c r="V60" s="1">
        <f t="shared" si="3"/>
        <v>4</v>
      </c>
    </row>
    <row r="61" spans="1:22" x14ac:dyDescent="0.2">
      <c r="A61" s="1" t="str">
        <f>IF(C61="","",SUMIF('Číselník škol'!$B$2:$B$11,'CH jednotlivci'!D61,'Číselník škol'!$A$2:$A$11)&amp;"/"&amp;COUNTIF($D$20:D61,D61))</f>
        <v>9/2</v>
      </c>
      <c r="C61" s="7" t="s">
        <v>98</v>
      </c>
      <c r="D61" s="8" t="s">
        <v>68</v>
      </c>
      <c r="E61" s="17">
        <v>8.26</v>
      </c>
      <c r="F61" s="5">
        <f t="shared" si="4"/>
        <v>423</v>
      </c>
      <c r="G61" s="9">
        <v>3</v>
      </c>
      <c r="H61" s="48">
        <v>42.4</v>
      </c>
      <c r="I61" s="5">
        <f t="shared" si="10"/>
        <v>310</v>
      </c>
      <c r="J61" s="18"/>
      <c r="K61" s="5" t="str">
        <f t="shared" si="6"/>
        <v/>
      </c>
      <c r="L61" s="18">
        <v>129</v>
      </c>
      <c r="M61" s="5">
        <f t="shared" si="7"/>
        <v>244</v>
      </c>
      <c r="N61" s="19">
        <v>8.3800000000000008</v>
      </c>
      <c r="O61" s="5">
        <f t="shared" si="8"/>
        <v>389</v>
      </c>
      <c r="P61" s="19"/>
      <c r="Q61" s="5" t="str">
        <f t="shared" si="9"/>
        <v/>
      </c>
      <c r="R61" s="6">
        <f t="shared" si="1"/>
        <v>1366</v>
      </c>
      <c r="S61" s="20" t="str">
        <f t="shared" si="2"/>
        <v>35.</v>
      </c>
      <c r="V61" s="1">
        <f t="shared" si="3"/>
        <v>4</v>
      </c>
    </row>
    <row r="62" spans="1:22" x14ac:dyDescent="0.2">
      <c r="A62" s="1" t="str">
        <f>IF(C62="","",SUMIF('Číselník škol'!$B$2:$B$11,'CH jednotlivci'!D62,'Číselník škol'!$A$2:$A$11)&amp;"/"&amp;COUNTIF($D$20:D62,D62))</f>
        <v>9/3</v>
      </c>
      <c r="C62" s="7" t="s">
        <v>99</v>
      </c>
      <c r="D62" s="8" t="s">
        <v>68</v>
      </c>
      <c r="E62" s="17">
        <v>8.11</v>
      </c>
      <c r="F62" s="5">
        <f t="shared" si="4"/>
        <v>462</v>
      </c>
      <c r="G62" s="9">
        <v>3</v>
      </c>
      <c r="H62" s="48">
        <v>37.6</v>
      </c>
      <c r="I62" s="5">
        <f t="shared" si="10"/>
        <v>343</v>
      </c>
      <c r="J62" s="18"/>
      <c r="K62" s="5" t="str">
        <f t="shared" si="6"/>
        <v/>
      </c>
      <c r="L62" s="18">
        <v>153</v>
      </c>
      <c r="M62" s="5">
        <f t="shared" si="7"/>
        <v>411</v>
      </c>
      <c r="N62" s="19">
        <v>7.89</v>
      </c>
      <c r="O62" s="5">
        <f t="shared" si="8"/>
        <v>360</v>
      </c>
      <c r="P62" s="19"/>
      <c r="Q62" s="5" t="str">
        <f t="shared" si="9"/>
        <v/>
      </c>
      <c r="R62" s="6">
        <f t="shared" si="1"/>
        <v>1576</v>
      </c>
      <c r="S62" s="20" t="str">
        <f t="shared" si="2"/>
        <v>21.</v>
      </c>
      <c r="V62" s="1">
        <f t="shared" si="3"/>
        <v>4</v>
      </c>
    </row>
    <row r="63" spans="1:22" x14ac:dyDescent="0.2">
      <c r="A63" s="1" t="str">
        <f>IF(C63="","",SUMIF('Číselník škol'!$B$2:$B$11,'CH jednotlivci'!D63,'Číselník škol'!$A$2:$A$11)&amp;"/"&amp;COUNTIF($D$20:D63,D63))</f>
        <v>9/4</v>
      </c>
      <c r="C63" s="7" t="s">
        <v>100</v>
      </c>
      <c r="D63" s="8" t="s">
        <v>68</v>
      </c>
      <c r="E63" s="17">
        <v>8.39</v>
      </c>
      <c r="F63" s="5">
        <f t="shared" si="4"/>
        <v>391</v>
      </c>
      <c r="G63" s="9">
        <v>3</v>
      </c>
      <c r="H63" s="48">
        <v>50.4</v>
      </c>
      <c r="I63" s="5">
        <f t="shared" si="10"/>
        <v>257</v>
      </c>
      <c r="J63" s="18"/>
      <c r="K63" s="5" t="str">
        <f t="shared" si="6"/>
        <v/>
      </c>
      <c r="L63" s="18">
        <v>137</v>
      </c>
      <c r="M63" s="5">
        <f t="shared" si="7"/>
        <v>297</v>
      </c>
      <c r="N63" s="19"/>
      <c r="O63" s="5" t="str">
        <f t="shared" si="8"/>
        <v/>
      </c>
      <c r="P63" s="19">
        <v>37.200000000000003</v>
      </c>
      <c r="Q63" s="5">
        <f t="shared" si="9"/>
        <v>201</v>
      </c>
      <c r="R63" s="6">
        <f t="shared" si="1"/>
        <v>1146</v>
      </c>
      <c r="S63" s="20" t="str">
        <f t="shared" si="2"/>
        <v>42.</v>
      </c>
      <c r="V63" s="1">
        <f t="shared" si="3"/>
        <v>4</v>
      </c>
    </row>
    <row r="64" spans="1:22" x14ac:dyDescent="0.2">
      <c r="A64" s="1" t="str">
        <f>IF(C64="","",SUMIF('Číselník škol'!$B$2:$B$11,'CH jednotlivci'!D64,'Číselník škol'!$A$2:$A$11)&amp;"/"&amp;COUNTIF($D$20:D64,D64))</f>
        <v>9/5</v>
      </c>
      <c r="C64" s="7" t="s">
        <v>101</v>
      </c>
      <c r="D64" s="8" t="s">
        <v>68</v>
      </c>
      <c r="E64" s="17">
        <v>8.8000000000000007</v>
      </c>
      <c r="F64" s="5">
        <f t="shared" si="4"/>
        <v>295</v>
      </c>
      <c r="G64" s="9">
        <v>4</v>
      </c>
      <c r="H64" s="48">
        <v>5.5</v>
      </c>
      <c r="I64" s="5">
        <f t="shared" si="10"/>
        <v>169</v>
      </c>
      <c r="J64" s="18">
        <v>421</v>
      </c>
      <c r="K64" s="5">
        <f t="shared" si="6"/>
        <v>240</v>
      </c>
      <c r="L64" s="18"/>
      <c r="M64" s="5" t="str">
        <f t="shared" si="7"/>
        <v/>
      </c>
      <c r="N64" s="19"/>
      <c r="O64" s="5" t="str">
        <f t="shared" si="8"/>
        <v/>
      </c>
      <c r="P64" s="19">
        <v>48.85</v>
      </c>
      <c r="Q64" s="5">
        <f t="shared" si="9"/>
        <v>298</v>
      </c>
      <c r="R64" s="6">
        <f t="shared" si="1"/>
        <v>1002</v>
      </c>
      <c r="S64" s="20" t="str">
        <f t="shared" si="2"/>
        <v>48.</v>
      </c>
      <c r="V64" s="1">
        <f t="shared" si="3"/>
        <v>4</v>
      </c>
    </row>
    <row r="65" spans="1:22" x14ac:dyDescent="0.2">
      <c r="A65" s="1" t="str">
        <f>IF(C65="","",SUMIF('Číselník škol'!$B$2:$B$11,'CH jednotlivci'!D65,'Číselník škol'!$A$2:$A$11)&amp;"/"&amp;COUNTIF($D$20:D65,D65))</f>
        <v>10/1</v>
      </c>
      <c r="C65" s="7" t="s">
        <v>133</v>
      </c>
      <c r="D65" s="8" t="s">
        <v>132</v>
      </c>
      <c r="E65" s="17">
        <v>9.35</v>
      </c>
      <c r="F65" s="5">
        <f t="shared" si="4"/>
        <v>187</v>
      </c>
      <c r="G65" s="9">
        <v>3</v>
      </c>
      <c r="H65" s="48">
        <v>31.9</v>
      </c>
      <c r="I65" s="5">
        <f t="shared" si="10"/>
        <v>386</v>
      </c>
      <c r="J65" s="18">
        <v>448</v>
      </c>
      <c r="K65" s="5">
        <f t="shared" si="6"/>
        <v>287</v>
      </c>
      <c r="L65" s="18"/>
      <c r="M65" s="5" t="str">
        <f t="shared" si="7"/>
        <v/>
      </c>
      <c r="N65" s="19"/>
      <c r="O65" s="5" t="str">
        <f t="shared" si="8"/>
        <v/>
      </c>
      <c r="P65" s="19">
        <v>50</v>
      </c>
      <c r="Q65" s="5">
        <f t="shared" si="9"/>
        <v>308</v>
      </c>
      <c r="R65" s="6">
        <f t="shared" si="1"/>
        <v>1168</v>
      </c>
      <c r="S65" s="20" t="str">
        <f t="shared" si="2"/>
        <v>41.</v>
      </c>
      <c r="V65" s="1">
        <f t="shared" si="3"/>
        <v>4</v>
      </c>
    </row>
    <row r="66" spans="1:22" x14ac:dyDescent="0.2">
      <c r="A66" s="1" t="str">
        <f>IF(C66="","",SUMIF('Číselník škol'!$B$2:$B$11,'CH jednotlivci'!D66,'Číselník škol'!$A$2:$A$11)&amp;"/"&amp;COUNTIF($D$20:D66,D66))</f>
        <v>10/2</v>
      </c>
      <c r="C66" s="7" t="s">
        <v>134</v>
      </c>
      <c r="D66" s="8" t="s">
        <v>132</v>
      </c>
      <c r="E66" s="17">
        <v>8.6</v>
      </c>
      <c r="F66" s="5">
        <f t="shared" si="4"/>
        <v>340</v>
      </c>
      <c r="G66" s="9"/>
      <c r="H66" s="48"/>
      <c r="I66" s="5" t="str">
        <f t="shared" si="10"/>
        <v/>
      </c>
      <c r="J66" s="18"/>
      <c r="K66" s="5" t="str">
        <f t="shared" si="6"/>
        <v/>
      </c>
      <c r="L66" s="18">
        <v>141</v>
      </c>
      <c r="M66" s="5">
        <f t="shared" si="7"/>
        <v>324</v>
      </c>
      <c r="N66" s="19"/>
      <c r="O66" s="5" t="str">
        <f t="shared" si="8"/>
        <v/>
      </c>
      <c r="P66" s="19">
        <v>48.1</v>
      </c>
      <c r="Q66" s="5">
        <f t="shared" si="9"/>
        <v>292</v>
      </c>
      <c r="R66" s="6">
        <f t="shared" si="1"/>
        <v>956</v>
      </c>
      <c r="S66" s="20" t="str">
        <f t="shared" si="2"/>
        <v>49.</v>
      </c>
      <c r="V66" s="1">
        <f t="shared" si="3"/>
        <v>3</v>
      </c>
    </row>
    <row r="67" spans="1:22" x14ac:dyDescent="0.2">
      <c r="A67" s="1" t="str">
        <f>IF(C67="","",SUMIF('Číselník škol'!$B$2:$B$11,'CH jednotlivci'!D67,'Číselník škol'!$A$2:$A$11)&amp;"/"&amp;COUNTIF($D$20:D67,D67))</f>
        <v>10/3</v>
      </c>
      <c r="C67" s="7" t="s">
        <v>148</v>
      </c>
      <c r="D67" s="8" t="s">
        <v>132</v>
      </c>
      <c r="E67" s="17">
        <v>8.94</v>
      </c>
      <c r="F67" s="5">
        <f t="shared" si="4"/>
        <v>266</v>
      </c>
      <c r="G67" s="9">
        <v>3</v>
      </c>
      <c r="H67" s="48">
        <v>9.5</v>
      </c>
      <c r="I67" s="5">
        <f t="shared" si="10"/>
        <v>574</v>
      </c>
      <c r="J67" s="18"/>
      <c r="K67" s="5" t="str">
        <f t="shared" si="6"/>
        <v/>
      </c>
      <c r="L67" s="18">
        <v>0</v>
      </c>
      <c r="M67" s="5">
        <f t="shared" si="7"/>
        <v>0</v>
      </c>
      <c r="N67" s="19"/>
      <c r="O67" s="5" t="str">
        <f t="shared" si="8"/>
        <v/>
      </c>
      <c r="P67" s="19">
        <v>36.5</v>
      </c>
      <c r="Q67" s="5">
        <f t="shared" si="9"/>
        <v>196</v>
      </c>
      <c r="R67" s="6">
        <f t="shared" si="1"/>
        <v>1036</v>
      </c>
      <c r="S67" s="20" t="str">
        <f t="shared" si="2"/>
        <v>47.</v>
      </c>
      <c r="V67" s="1">
        <f t="shared" si="3"/>
        <v>4</v>
      </c>
    </row>
    <row r="68" spans="1:22" x14ac:dyDescent="0.2">
      <c r="A68" s="1" t="str">
        <f>IF(C68="","",SUMIF('Číselník škol'!$B$2:$B$11,'CH jednotlivci'!D68,'Číselník škol'!$A$2:$A$11)&amp;"/"&amp;COUNTIF($D$20:D68,D68))</f>
        <v>10/4</v>
      </c>
      <c r="C68" s="7" t="s">
        <v>149</v>
      </c>
      <c r="D68" s="8" t="s">
        <v>132</v>
      </c>
      <c r="E68" s="17">
        <v>8.01</v>
      </c>
      <c r="F68" s="5">
        <f t="shared" si="4"/>
        <v>489</v>
      </c>
      <c r="G68" s="9">
        <v>3</v>
      </c>
      <c r="H68" s="48">
        <v>9.5</v>
      </c>
      <c r="I68" s="5">
        <f t="shared" si="10"/>
        <v>574</v>
      </c>
      <c r="J68" s="18">
        <v>450</v>
      </c>
      <c r="K68" s="5">
        <f t="shared" si="6"/>
        <v>290</v>
      </c>
      <c r="L68" s="18"/>
      <c r="M68" s="5" t="str">
        <f t="shared" si="7"/>
        <v/>
      </c>
      <c r="N68" s="19">
        <v>8.11</v>
      </c>
      <c r="O68" s="5">
        <f t="shared" si="8"/>
        <v>373</v>
      </c>
      <c r="P68" s="19"/>
      <c r="Q68" s="5" t="str">
        <f t="shared" si="9"/>
        <v/>
      </c>
      <c r="R68" s="6">
        <f t="shared" si="1"/>
        <v>1726</v>
      </c>
      <c r="S68" s="20" t="str">
        <f t="shared" si="2"/>
        <v>11.</v>
      </c>
      <c r="V68" s="1">
        <f t="shared" si="3"/>
        <v>4</v>
      </c>
    </row>
    <row r="69" spans="1:22" x14ac:dyDescent="0.2">
      <c r="A69" s="1" t="str">
        <f>IF(C69="","",SUMIF('Číselník škol'!$B$2:$B$11,'CH jednotlivci'!D69,'Číselník škol'!$A$2:$A$11)&amp;"/"&amp;COUNTIF($D$20:D69,D69))</f>
        <v>10/5</v>
      </c>
      <c r="C69" s="7" t="s">
        <v>135</v>
      </c>
      <c r="D69" s="8" t="s">
        <v>132</v>
      </c>
      <c r="E69" s="17">
        <v>9.4700000000000006</v>
      </c>
      <c r="F69" s="5">
        <f t="shared" si="4"/>
        <v>166</v>
      </c>
      <c r="G69" s="9">
        <v>3</v>
      </c>
      <c r="H69" s="48">
        <v>42.9</v>
      </c>
      <c r="I69" s="5">
        <f t="shared" si="10"/>
        <v>306</v>
      </c>
      <c r="J69" s="18">
        <v>485</v>
      </c>
      <c r="K69" s="5">
        <f t="shared" si="6"/>
        <v>354</v>
      </c>
      <c r="L69" s="18"/>
      <c r="M69" s="5" t="str">
        <f t="shared" si="7"/>
        <v/>
      </c>
      <c r="N69" s="19">
        <v>6.66</v>
      </c>
      <c r="O69" s="5">
        <f t="shared" si="8"/>
        <v>287</v>
      </c>
      <c r="P69" s="19"/>
      <c r="Q69" s="5" t="str">
        <f t="shared" si="9"/>
        <v/>
      </c>
      <c r="R69" s="6">
        <f t="shared" si="1"/>
        <v>1113</v>
      </c>
      <c r="S69" s="20" t="str">
        <f t="shared" si="2"/>
        <v>46.</v>
      </c>
      <c r="V69" s="1">
        <f t="shared" si="3"/>
        <v>4</v>
      </c>
    </row>
    <row r="70" spans="1:22" x14ac:dyDescent="0.2">
      <c r="A70" s="1" t="str">
        <f>IF(C70="","",SUMIF('Číselník škol'!$B$2:$B$11,'CH jednotlivci'!D70,'Číselník škol'!$A$2:$A$11)&amp;"/"&amp;COUNTIF($D$20:D70,D70))</f>
        <v/>
      </c>
      <c r="C70" s="7"/>
      <c r="D70" s="8"/>
      <c r="E70" s="17"/>
      <c r="F70" s="5" t="str">
        <f t="shared" si="4"/>
        <v/>
      </c>
      <c r="G70" s="9"/>
      <c r="H70" s="48"/>
      <c r="I70" s="5" t="str">
        <f t="shared" si="10"/>
        <v/>
      </c>
      <c r="J70" s="18"/>
      <c r="K70" s="5" t="str">
        <f t="shared" si="6"/>
        <v/>
      </c>
      <c r="L70" s="18"/>
      <c r="M70" s="5" t="str">
        <f t="shared" si="7"/>
        <v/>
      </c>
      <c r="N70" s="19"/>
      <c r="O70" s="5" t="str">
        <f t="shared" si="8"/>
        <v/>
      </c>
      <c r="P70" s="19"/>
      <c r="Q70" s="5" t="str">
        <f t="shared" si="9"/>
        <v/>
      </c>
      <c r="R70" s="6" t="str">
        <f t="shared" si="1"/>
        <v/>
      </c>
      <c r="S70" s="20" t="str">
        <f t="shared" si="2"/>
        <v/>
      </c>
      <c r="V70" s="1" t="str">
        <f t="shared" si="3"/>
        <v/>
      </c>
    </row>
    <row r="71" spans="1:22" x14ac:dyDescent="0.2">
      <c r="A71" s="1" t="str">
        <f>IF(C71="","",SUMIF('Číselník škol'!$B$2:$B$11,'CH jednotlivci'!D71,'Číselník škol'!$A$2:$A$11)&amp;"/"&amp;COUNTIF($D$20:D71,D71))</f>
        <v/>
      </c>
      <c r="C71" s="7"/>
      <c r="D71" s="8"/>
      <c r="E71" s="17"/>
      <c r="F71" s="5" t="str">
        <f t="shared" si="4"/>
        <v/>
      </c>
      <c r="G71" s="9"/>
      <c r="H71" s="48"/>
      <c r="I71" s="5" t="str">
        <f t="shared" si="10"/>
        <v/>
      </c>
      <c r="J71" s="18"/>
      <c r="K71" s="5" t="str">
        <f t="shared" si="6"/>
        <v/>
      </c>
      <c r="L71" s="18"/>
      <c r="M71" s="5" t="str">
        <f t="shared" si="7"/>
        <v/>
      </c>
      <c r="N71" s="19"/>
      <c r="O71" s="5" t="str">
        <f t="shared" si="8"/>
        <v/>
      </c>
      <c r="P71" s="19"/>
      <c r="Q71" s="5" t="str">
        <f t="shared" si="9"/>
        <v/>
      </c>
      <c r="R71" s="6" t="str">
        <f t="shared" si="1"/>
        <v/>
      </c>
      <c r="S71" s="20" t="str">
        <f t="shared" si="2"/>
        <v/>
      </c>
      <c r="V71" s="1" t="str">
        <f t="shared" si="3"/>
        <v/>
      </c>
    </row>
    <row r="72" spans="1:22" x14ac:dyDescent="0.2">
      <c r="A72" s="1" t="str">
        <f>IF(C72="","",SUMIF('Číselník škol'!$B$2:$B$11,'CH jednotlivci'!D72,'Číselník škol'!$A$2:$A$11)&amp;"/"&amp;COUNTIF($D$20:D72,D72))</f>
        <v/>
      </c>
      <c r="C72" s="7"/>
      <c r="D72" s="8"/>
      <c r="E72" s="17"/>
      <c r="F72" s="5" t="str">
        <f t="shared" si="4"/>
        <v/>
      </c>
      <c r="G72" s="9"/>
      <c r="H72" s="48"/>
      <c r="I72" s="5" t="str">
        <f t="shared" si="10"/>
        <v/>
      </c>
      <c r="J72" s="18"/>
      <c r="K72" s="5" t="str">
        <f t="shared" si="6"/>
        <v/>
      </c>
      <c r="L72" s="18"/>
      <c r="M72" s="5" t="str">
        <f t="shared" si="7"/>
        <v/>
      </c>
      <c r="N72" s="19"/>
      <c r="O72" s="5" t="str">
        <f t="shared" si="8"/>
        <v/>
      </c>
      <c r="P72" s="19"/>
      <c r="Q72" s="5" t="str">
        <f t="shared" si="9"/>
        <v/>
      </c>
      <c r="R72" s="6" t="str">
        <f t="shared" si="1"/>
        <v/>
      </c>
      <c r="S72" s="20" t="str">
        <f t="shared" si="2"/>
        <v/>
      </c>
      <c r="V72" s="1" t="str">
        <f t="shared" si="3"/>
        <v/>
      </c>
    </row>
    <row r="73" spans="1:22" x14ac:dyDescent="0.2">
      <c r="A73" s="1" t="str">
        <f>IF(C73="","",SUMIF('Číselník škol'!$B$2:$B$11,'CH jednotlivci'!D73,'Číselník škol'!$A$2:$A$11)&amp;"/"&amp;COUNTIF($D$20:D73,D73))</f>
        <v/>
      </c>
      <c r="C73" s="7"/>
      <c r="D73" s="8"/>
      <c r="E73" s="17"/>
      <c r="F73" s="5" t="str">
        <f t="shared" si="4"/>
        <v/>
      </c>
      <c r="G73" s="9"/>
      <c r="H73" s="48"/>
      <c r="I73" s="5" t="str">
        <f t="shared" si="10"/>
        <v/>
      </c>
      <c r="J73" s="18"/>
      <c r="K73" s="5" t="str">
        <f t="shared" si="6"/>
        <v/>
      </c>
      <c r="L73" s="18"/>
      <c r="M73" s="5" t="str">
        <f t="shared" si="7"/>
        <v/>
      </c>
      <c r="N73" s="19"/>
      <c r="O73" s="5" t="str">
        <f t="shared" si="8"/>
        <v/>
      </c>
      <c r="P73" s="19"/>
      <c r="Q73" s="5" t="str">
        <f t="shared" si="9"/>
        <v/>
      </c>
      <c r="R73" s="6" t="str">
        <f t="shared" si="1"/>
        <v/>
      </c>
      <c r="S73" s="20" t="str">
        <f t="shared" si="2"/>
        <v/>
      </c>
      <c r="V73" s="1" t="str">
        <f t="shared" si="3"/>
        <v/>
      </c>
    </row>
    <row r="74" spans="1:22" x14ac:dyDescent="0.2">
      <c r="A74" s="1" t="str">
        <f>IF(C74="","",SUMIF('Číselník škol'!$B$2:$B$11,'CH jednotlivci'!D74,'Číselník škol'!$A$2:$A$11)&amp;"/"&amp;COUNTIF($D$20:D74,D74))</f>
        <v/>
      </c>
      <c r="C74" s="7"/>
      <c r="D74" s="8"/>
      <c r="E74" s="17"/>
      <c r="F74" s="5" t="str">
        <f t="shared" si="4"/>
        <v/>
      </c>
      <c r="G74" s="9"/>
      <c r="H74" s="48"/>
      <c r="I74" s="5" t="str">
        <f t="shared" si="10"/>
        <v/>
      </c>
      <c r="J74" s="18"/>
      <c r="K74" s="5" t="str">
        <f t="shared" si="6"/>
        <v/>
      </c>
      <c r="L74" s="18"/>
      <c r="M74" s="5" t="str">
        <f t="shared" si="7"/>
        <v/>
      </c>
      <c r="N74" s="19"/>
      <c r="O74" s="5" t="str">
        <f t="shared" si="8"/>
        <v/>
      </c>
      <c r="P74" s="19"/>
      <c r="Q74" s="5" t="str">
        <f t="shared" si="9"/>
        <v/>
      </c>
      <c r="R74" s="6" t="str">
        <f t="shared" si="1"/>
        <v/>
      </c>
      <c r="S74" s="20" t="str">
        <f t="shared" si="2"/>
        <v/>
      </c>
      <c r="V74" s="1" t="str">
        <f t="shared" si="3"/>
        <v/>
      </c>
    </row>
    <row r="75" spans="1:22" x14ac:dyDescent="0.2">
      <c r="A75" s="1" t="str">
        <f>IF(C75="","",SUMIF('Číselník škol'!$B$2:$B$11,'CH jednotlivci'!D75,'Číselník škol'!$A$2:$A$11)&amp;"/"&amp;COUNTIF($D$20:D75,D75))</f>
        <v/>
      </c>
      <c r="C75" s="7"/>
      <c r="D75" s="8"/>
      <c r="E75" s="17"/>
      <c r="F75" s="5" t="str">
        <f t="shared" si="4"/>
        <v/>
      </c>
      <c r="G75" s="9"/>
      <c r="H75" s="48"/>
      <c r="I75" s="5" t="str">
        <f t="shared" si="10"/>
        <v/>
      </c>
      <c r="J75" s="18"/>
      <c r="K75" s="5" t="str">
        <f t="shared" si="6"/>
        <v/>
      </c>
      <c r="L75" s="18"/>
      <c r="M75" s="5" t="str">
        <f t="shared" si="7"/>
        <v/>
      </c>
      <c r="N75" s="19"/>
      <c r="O75" s="5" t="str">
        <f t="shared" si="8"/>
        <v/>
      </c>
      <c r="P75" s="19"/>
      <c r="Q75" s="5" t="str">
        <f t="shared" si="9"/>
        <v/>
      </c>
      <c r="R75" s="6" t="str">
        <f t="shared" si="1"/>
        <v/>
      </c>
      <c r="S75" s="20" t="str">
        <f t="shared" si="2"/>
        <v/>
      </c>
      <c r="V75" s="1" t="str">
        <f t="shared" si="3"/>
        <v/>
      </c>
    </row>
    <row r="76" spans="1:22" x14ac:dyDescent="0.2">
      <c r="A76" s="1" t="str">
        <f>IF(C76="","",SUMIF('Číselník škol'!$B$2:$B$11,'CH jednotlivci'!D76,'Číselník škol'!$A$2:$A$11)&amp;"/"&amp;COUNTIF($D$20:D76,D76))</f>
        <v/>
      </c>
      <c r="C76" s="7"/>
      <c r="D76" s="8"/>
      <c r="E76" s="17"/>
      <c r="F76" s="5" t="str">
        <f t="shared" si="4"/>
        <v/>
      </c>
      <c r="G76" s="9"/>
      <c r="H76" s="48"/>
      <c r="I76" s="5" t="str">
        <f t="shared" si="10"/>
        <v/>
      </c>
      <c r="J76" s="18"/>
      <c r="K76" s="5" t="str">
        <f t="shared" si="6"/>
        <v/>
      </c>
      <c r="L76" s="18"/>
      <c r="M76" s="5" t="str">
        <f t="shared" si="7"/>
        <v/>
      </c>
      <c r="N76" s="19"/>
      <c r="O76" s="5" t="str">
        <f t="shared" si="8"/>
        <v/>
      </c>
      <c r="P76" s="19"/>
      <c r="Q76" s="5" t="str">
        <f t="shared" si="9"/>
        <v/>
      </c>
      <c r="R76" s="6" t="str">
        <f t="shared" si="1"/>
        <v/>
      </c>
      <c r="S76" s="20" t="str">
        <f t="shared" si="2"/>
        <v/>
      </c>
      <c r="V76" s="1" t="str">
        <f t="shared" si="3"/>
        <v/>
      </c>
    </row>
    <row r="77" spans="1:22" x14ac:dyDescent="0.2">
      <c r="A77" s="1" t="str">
        <f>IF(C77="","",SUMIF('Číselník škol'!$B$2:$B$11,'CH jednotlivci'!D77,'Číselník škol'!$A$2:$A$11)&amp;"/"&amp;COUNTIF($D$20:D77,D77))</f>
        <v/>
      </c>
      <c r="C77" s="7"/>
      <c r="D77" s="8"/>
      <c r="E77" s="17"/>
      <c r="F77" s="5" t="str">
        <f t="shared" si="4"/>
        <v/>
      </c>
      <c r="G77" s="9"/>
      <c r="H77" s="48"/>
      <c r="I77" s="5" t="str">
        <f t="shared" si="10"/>
        <v/>
      </c>
      <c r="J77" s="18"/>
      <c r="K77" s="5" t="str">
        <f t="shared" si="6"/>
        <v/>
      </c>
      <c r="L77" s="18"/>
      <c r="M77" s="5" t="str">
        <f t="shared" si="7"/>
        <v/>
      </c>
      <c r="N77" s="19"/>
      <c r="O77" s="5" t="str">
        <f t="shared" si="8"/>
        <v/>
      </c>
      <c r="P77" s="19"/>
      <c r="Q77" s="5" t="str">
        <f t="shared" si="9"/>
        <v/>
      </c>
      <c r="R77" s="6" t="str">
        <f t="shared" si="1"/>
        <v/>
      </c>
      <c r="S77" s="20" t="str">
        <f t="shared" si="2"/>
        <v/>
      </c>
      <c r="V77" s="1" t="str">
        <f t="shared" si="3"/>
        <v/>
      </c>
    </row>
    <row r="78" spans="1:22" x14ac:dyDescent="0.2">
      <c r="A78" s="1" t="str">
        <f>IF(C78="","",SUMIF('Číselník škol'!$B$2:$B$11,'CH jednotlivci'!D78,'Číselník škol'!$A$2:$A$11)&amp;"/"&amp;COUNTIF($D$20:D78,D78))</f>
        <v/>
      </c>
      <c r="C78" s="7"/>
      <c r="D78" s="8"/>
      <c r="E78" s="17"/>
      <c r="F78" s="5" t="str">
        <f t="shared" si="4"/>
        <v/>
      </c>
      <c r="G78" s="9"/>
      <c r="H78" s="48"/>
      <c r="I78" s="5" t="str">
        <f t="shared" si="10"/>
        <v/>
      </c>
      <c r="J78" s="18"/>
      <c r="K78" s="5" t="str">
        <f t="shared" si="6"/>
        <v/>
      </c>
      <c r="L78" s="18"/>
      <c r="M78" s="5" t="str">
        <f t="shared" si="7"/>
        <v/>
      </c>
      <c r="N78" s="19"/>
      <c r="O78" s="5" t="str">
        <f t="shared" si="8"/>
        <v/>
      </c>
      <c r="P78" s="19"/>
      <c r="Q78" s="5" t="str">
        <f t="shared" si="9"/>
        <v/>
      </c>
      <c r="R78" s="6" t="str">
        <f t="shared" si="1"/>
        <v/>
      </c>
      <c r="S78" s="20" t="str">
        <f t="shared" si="2"/>
        <v/>
      </c>
      <c r="V78" s="1" t="str">
        <f t="shared" si="3"/>
        <v/>
      </c>
    </row>
    <row r="79" spans="1:22" x14ac:dyDescent="0.2">
      <c r="A79" s="1" t="str">
        <f>IF(C79="","",SUMIF('Číselník škol'!$B$2:$B$11,'CH jednotlivci'!D79,'Číselník škol'!$A$2:$A$11)&amp;"/"&amp;COUNTIF($D$20:D79,D79))</f>
        <v/>
      </c>
      <c r="C79" s="7"/>
      <c r="D79" s="8"/>
      <c r="E79" s="17"/>
      <c r="F79" s="5" t="str">
        <f t="shared" si="4"/>
        <v/>
      </c>
      <c r="G79" s="9"/>
      <c r="H79" s="48"/>
      <c r="I79" s="5" t="str">
        <f t="shared" si="10"/>
        <v/>
      </c>
      <c r="J79" s="18"/>
      <c r="K79" s="5" t="str">
        <f t="shared" si="6"/>
        <v/>
      </c>
      <c r="L79" s="18"/>
      <c r="M79" s="5" t="str">
        <f t="shared" si="7"/>
        <v/>
      </c>
      <c r="N79" s="19"/>
      <c r="O79" s="5" t="str">
        <f t="shared" si="8"/>
        <v/>
      </c>
      <c r="P79" s="19"/>
      <c r="Q79" s="5" t="str">
        <f t="shared" si="9"/>
        <v/>
      </c>
      <c r="R79" s="6" t="str">
        <f t="shared" si="1"/>
        <v/>
      </c>
      <c r="S79" s="20" t="str">
        <f t="shared" si="2"/>
        <v/>
      </c>
      <c r="V79" s="1" t="str">
        <f t="shared" si="3"/>
        <v/>
      </c>
    </row>
    <row r="80" spans="1:22" x14ac:dyDescent="0.2">
      <c r="A80" s="1" t="str">
        <f>IF(C80="","",SUMIF('Číselník škol'!$B$2:$B$11,'CH jednotlivci'!D80,'Číselník škol'!$A$2:$A$11)&amp;"/"&amp;COUNTIF($D$20:D80,D80))</f>
        <v/>
      </c>
      <c r="C80" s="7"/>
      <c r="D80" s="8"/>
      <c r="E80" s="17"/>
      <c r="F80" s="5" t="str">
        <f t="shared" si="4"/>
        <v/>
      </c>
      <c r="G80" s="9"/>
      <c r="H80" s="48"/>
      <c r="I80" s="5" t="str">
        <f t="shared" si="10"/>
        <v/>
      </c>
      <c r="J80" s="18"/>
      <c r="K80" s="5" t="str">
        <f t="shared" si="6"/>
        <v/>
      </c>
      <c r="L80" s="18"/>
      <c r="M80" s="5" t="str">
        <f t="shared" si="7"/>
        <v/>
      </c>
      <c r="N80" s="19"/>
      <c r="O80" s="5" t="str">
        <f t="shared" si="8"/>
        <v/>
      </c>
      <c r="P80" s="19"/>
      <c r="Q80" s="5" t="str">
        <f t="shared" si="9"/>
        <v/>
      </c>
      <c r="R80" s="6" t="str">
        <f t="shared" si="1"/>
        <v/>
      </c>
      <c r="S80" s="20" t="str">
        <f t="shared" si="2"/>
        <v/>
      </c>
      <c r="V80" s="1" t="str">
        <f t="shared" si="3"/>
        <v/>
      </c>
    </row>
    <row r="81" spans="1:22" x14ac:dyDescent="0.2">
      <c r="A81" s="1" t="str">
        <f>IF(C81="","",SUMIF('Číselník škol'!$B$2:$B$11,'CH jednotlivci'!D81,'Číselník škol'!$A$2:$A$11)&amp;"/"&amp;COUNTIF($D$20:D81,D81))</f>
        <v/>
      </c>
      <c r="C81" s="7"/>
      <c r="D81" s="8"/>
      <c r="E81" s="17"/>
      <c r="F81" s="5" t="str">
        <f t="shared" si="4"/>
        <v/>
      </c>
      <c r="G81" s="9"/>
      <c r="H81" s="48"/>
      <c r="I81" s="5" t="str">
        <f t="shared" si="10"/>
        <v/>
      </c>
      <c r="J81" s="18"/>
      <c r="K81" s="5" t="str">
        <f t="shared" si="6"/>
        <v/>
      </c>
      <c r="L81" s="18"/>
      <c r="M81" s="5" t="str">
        <f t="shared" si="7"/>
        <v/>
      </c>
      <c r="N81" s="19"/>
      <c r="O81" s="5" t="str">
        <f t="shared" si="8"/>
        <v/>
      </c>
      <c r="P81" s="19"/>
      <c r="Q81" s="5" t="str">
        <f t="shared" si="9"/>
        <v/>
      </c>
      <c r="R81" s="6" t="str">
        <f t="shared" si="1"/>
        <v/>
      </c>
      <c r="S81" s="20" t="str">
        <f t="shared" si="2"/>
        <v/>
      </c>
      <c r="V81" s="1" t="str">
        <f t="shared" si="3"/>
        <v/>
      </c>
    </row>
    <row r="82" spans="1:22" x14ac:dyDescent="0.2">
      <c r="A82" s="1" t="str">
        <f>IF(C82="","",SUMIF('Číselník škol'!$B$2:$B$11,'CH jednotlivci'!D82,'Číselník škol'!$A$2:$A$11)&amp;"/"&amp;COUNTIF($D$20:D82,D82))</f>
        <v/>
      </c>
      <c r="C82" s="7"/>
      <c r="D82" s="8"/>
      <c r="E82" s="17"/>
      <c r="F82" s="5" t="str">
        <f t="shared" si="4"/>
        <v/>
      </c>
      <c r="G82" s="9"/>
      <c r="H82" s="48"/>
      <c r="I82" s="5" t="str">
        <f t="shared" si="10"/>
        <v/>
      </c>
      <c r="J82" s="18"/>
      <c r="K82" s="5" t="str">
        <f t="shared" si="6"/>
        <v/>
      </c>
      <c r="L82" s="18"/>
      <c r="M82" s="5" t="str">
        <f t="shared" si="7"/>
        <v/>
      </c>
      <c r="N82" s="19"/>
      <c r="O82" s="5" t="str">
        <f t="shared" si="8"/>
        <v/>
      </c>
      <c r="P82" s="19"/>
      <c r="Q82" s="5" t="str">
        <f t="shared" si="9"/>
        <v/>
      </c>
      <c r="R82" s="6" t="str">
        <f t="shared" si="1"/>
        <v/>
      </c>
      <c r="S82" s="20" t="str">
        <f t="shared" si="2"/>
        <v/>
      </c>
      <c r="V82" s="1" t="str">
        <f t="shared" si="3"/>
        <v/>
      </c>
    </row>
    <row r="83" spans="1:22" x14ac:dyDescent="0.2">
      <c r="A83" s="1" t="str">
        <f>IF(C83="","",SUMIF('Číselník škol'!$B$2:$B$11,'CH jednotlivci'!D83,'Číselník škol'!$A$2:$A$11)&amp;"/"&amp;COUNTIF($D$20:D83,D83))</f>
        <v/>
      </c>
      <c r="C83" s="7"/>
      <c r="D83" s="8"/>
      <c r="E83" s="17"/>
      <c r="F83" s="5" t="str">
        <f t="shared" si="4"/>
        <v/>
      </c>
      <c r="G83" s="9"/>
      <c r="H83" s="48"/>
      <c r="I83" s="5" t="str">
        <f t="shared" si="10"/>
        <v/>
      </c>
      <c r="J83" s="18"/>
      <c r="K83" s="5" t="str">
        <f t="shared" si="6"/>
        <v/>
      </c>
      <c r="L83" s="18"/>
      <c r="M83" s="5" t="str">
        <f t="shared" si="7"/>
        <v/>
      </c>
      <c r="N83" s="19"/>
      <c r="O83" s="5" t="str">
        <f t="shared" si="8"/>
        <v/>
      </c>
      <c r="P83" s="19"/>
      <c r="Q83" s="5" t="str">
        <f t="shared" si="9"/>
        <v/>
      </c>
      <c r="R83" s="6" t="str">
        <f t="shared" si="1"/>
        <v/>
      </c>
      <c r="S83" s="20" t="str">
        <f t="shared" si="2"/>
        <v/>
      </c>
      <c r="V83" s="1" t="str">
        <f t="shared" si="3"/>
        <v/>
      </c>
    </row>
    <row r="84" spans="1:22" x14ac:dyDescent="0.2">
      <c r="A84" s="1" t="str">
        <f>IF(C84="","",SUMIF('Číselník škol'!$B$2:$B$11,'CH jednotlivci'!D84,'Číselník škol'!$A$2:$A$11)&amp;"/"&amp;COUNTIF($D$20:D84,D84))</f>
        <v/>
      </c>
      <c r="C84" s="7"/>
      <c r="D84" s="8"/>
      <c r="E84" s="17"/>
      <c r="F84" s="5" t="str">
        <f t="shared" si="4"/>
        <v/>
      </c>
      <c r="G84" s="9"/>
      <c r="H84" s="48"/>
      <c r="I84" s="5" t="str">
        <f t="shared" si="10"/>
        <v/>
      </c>
      <c r="J84" s="18"/>
      <c r="K84" s="5" t="str">
        <f t="shared" si="6"/>
        <v/>
      </c>
      <c r="L84" s="18"/>
      <c r="M84" s="5" t="str">
        <f t="shared" si="7"/>
        <v/>
      </c>
      <c r="N84" s="19"/>
      <c r="O84" s="5" t="str">
        <f t="shared" si="8"/>
        <v/>
      </c>
      <c r="P84" s="19"/>
      <c r="Q84" s="5" t="str">
        <f t="shared" si="9"/>
        <v/>
      </c>
      <c r="R84" s="6" t="str">
        <f t="shared" si="1"/>
        <v/>
      </c>
      <c r="S84" s="20" t="str">
        <f t="shared" si="2"/>
        <v/>
      </c>
      <c r="V84" s="1" t="str">
        <f t="shared" si="3"/>
        <v/>
      </c>
    </row>
    <row r="85" spans="1:22" x14ac:dyDescent="0.2">
      <c r="A85" s="1" t="str">
        <f>IF(C85="","",SUMIF('Číselník škol'!$B$2:$B$11,'CH jednotlivci'!D85,'Číselník škol'!$A$2:$A$11)&amp;"/"&amp;COUNTIF($D$20:D85,D85))</f>
        <v/>
      </c>
      <c r="C85" s="7"/>
      <c r="D85" s="8"/>
      <c r="E85" s="17"/>
      <c r="F85" s="5" t="str">
        <f t="shared" si="4"/>
        <v/>
      </c>
      <c r="G85" s="9"/>
      <c r="H85" s="48"/>
      <c r="I85" s="5" t="str">
        <f t="shared" si="10"/>
        <v/>
      </c>
      <c r="J85" s="18"/>
      <c r="K85" s="5" t="str">
        <f t="shared" si="6"/>
        <v/>
      </c>
      <c r="L85" s="18"/>
      <c r="M85" s="5" t="str">
        <f t="shared" si="7"/>
        <v/>
      </c>
      <c r="N85" s="19"/>
      <c r="O85" s="5" t="str">
        <f t="shared" si="8"/>
        <v/>
      </c>
      <c r="P85" s="19"/>
      <c r="Q85" s="5" t="str">
        <f t="shared" si="9"/>
        <v/>
      </c>
      <c r="R85" s="6" t="str">
        <f t="shared" ref="R85:R136" si="11">IF(OR(SUM(Q85,O85,M85,K85,I85,F85)=0,C85=""),"",SUM(Q85,O85,M85,K85,I85,F85))</f>
        <v/>
      </c>
      <c r="S85" s="20" t="str">
        <f t="shared" ref="S85:S136" si="12">IF(OR(R85="",C85=""),"",RANK(R85,$R$20:$R$136,0)&amp;".")</f>
        <v/>
      </c>
      <c r="V85" s="1" t="str">
        <f t="shared" ref="V85:V136" si="13">IF(C85="","",COUNT(E85,G85,J85,L85,N85,P85))</f>
        <v/>
      </c>
    </row>
    <row r="86" spans="1:22" x14ac:dyDescent="0.2">
      <c r="A86" s="1" t="str">
        <f>IF(C86="","",SUMIF('Číselník škol'!$B$2:$B$11,'CH jednotlivci'!D86,'Číselník škol'!$A$2:$A$11)&amp;"/"&amp;COUNTIF($D$20:D86,D86))</f>
        <v/>
      </c>
      <c r="C86" s="7"/>
      <c r="D86" s="8"/>
      <c r="E86" s="17"/>
      <c r="F86" s="5" t="str">
        <f t="shared" ref="F86:F136" si="14">IF(E86="","",INT(58.015*POWER(11.26-IF(E86&gt;11.26,11.26,E86),1.81)))</f>
        <v/>
      </c>
      <c r="G86" s="9"/>
      <c r="H86" s="48"/>
      <c r="I86" s="5" t="str">
        <f t="shared" si="10"/>
        <v/>
      </c>
      <c r="J86" s="18"/>
      <c r="K86" s="5" t="str">
        <f t="shared" ref="K86:K136" si="15">IF(J86="","",IF(J86&lt;220,0,INT(0.14354*POWER(J86-220,1.4))))</f>
        <v/>
      </c>
      <c r="L86" s="18"/>
      <c r="M86" s="5" t="str">
        <f t="shared" ref="M86:M136" si="16">IF(L86="","",IF(L86&lt;75,0,INT(0.8465*POWER(L86-75,1.42))))</f>
        <v/>
      </c>
      <c r="N86" s="19"/>
      <c r="O86" s="5" t="str">
        <f t="shared" ref="O86:O136" si="17">IF(N86="","",IF(N86&lt;1.5,0,INT(51.39*POWER(N86-1.5,1.05))))</f>
        <v/>
      </c>
      <c r="P86" s="19"/>
      <c r="Q86" s="5" t="str">
        <f t="shared" ref="Q86:Q136" si="18">IF(P86="","",IF(P86&lt;1.5,0,INT(5.33*POWER(P86-10,1.1))))</f>
        <v/>
      </c>
      <c r="R86" s="6" t="str">
        <f t="shared" si="11"/>
        <v/>
      </c>
      <c r="S86" s="20" t="str">
        <f t="shared" si="12"/>
        <v/>
      </c>
      <c r="V86" s="1" t="str">
        <f t="shared" si="13"/>
        <v/>
      </c>
    </row>
    <row r="87" spans="1:22" x14ac:dyDescent="0.2">
      <c r="A87" s="1" t="str">
        <f>IF(C87="","",SUMIF('Číselník škol'!$B$2:$B$11,'CH jednotlivci'!D87,'Číselník škol'!$A$2:$A$11)&amp;"/"&amp;COUNTIF($D$20:D87,D87))</f>
        <v/>
      </c>
      <c r="C87" s="7"/>
      <c r="D87" s="8"/>
      <c r="E87" s="17"/>
      <c r="F87" s="5" t="str">
        <f t="shared" si="14"/>
        <v/>
      </c>
      <c r="G87" s="9"/>
      <c r="H87" s="48"/>
      <c r="I87" s="5" t="str">
        <f t="shared" si="10"/>
        <v/>
      </c>
      <c r="J87" s="18"/>
      <c r="K87" s="5" t="str">
        <f t="shared" si="15"/>
        <v/>
      </c>
      <c r="L87" s="18"/>
      <c r="M87" s="5" t="str">
        <f t="shared" si="16"/>
        <v/>
      </c>
      <c r="N87" s="19"/>
      <c r="O87" s="5" t="str">
        <f t="shared" si="17"/>
        <v/>
      </c>
      <c r="P87" s="19"/>
      <c r="Q87" s="5" t="str">
        <f t="shared" si="18"/>
        <v/>
      </c>
      <c r="R87" s="6" t="str">
        <f t="shared" si="11"/>
        <v/>
      </c>
      <c r="S87" s="20" t="str">
        <f t="shared" si="12"/>
        <v/>
      </c>
      <c r="V87" s="1" t="str">
        <f t="shared" si="13"/>
        <v/>
      </c>
    </row>
    <row r="88" spans="1:22" x14ac:dyDescent="0.2">
      <c r="A88" s="1" t="str">
        <f>IF(C88="","",SUMIF('Číselník škol'!$B$2:$B$11,'CH jednotlivci'!D88,'Číselník škol'!$A$2:$A$11)&amp;"/"&amp;COUNTIF($D$20:D88,D88))</f>
        <v/>
      </c>
      <c r="C88" s="7"/>
      <c r="D88" s="8"/>
      <c r="E88" s="17"/>
      <c r="F88" s="5" t="str">
        <f t="shared" si="14"/>
        <v/>
      </c>
      <c r="G88" s="9"/>
      <c r="H88" s="48"/>
      <c r="I88" s="5" t="str">
        <f t="shared" si="10"/>
        <v/>
      </c>
      <c r="J88" s="18"/>
      <c r="K88" s="5" t="str">
        <f t="shared" si="15"/>
        <v/>
      </c>
      <c r="L88" s="18"/>
      <c r="M88" s="5" t="str">
        <f t="shared" si="16"/>
        <v/>
      </c>
      <c r="N88" s="19"/>
      <c r="O88" s="5" t="str">
        <f t="shared" si="17"/>
        <v/>
      </c>
      <c r="P88" s="19"/>
      <c r="Q88" s="5" t="str">
        <f t="shared" si="18"/>
        <v/>
      </c>
      <c r="R88" s="6" t="str">
        <f t="shared" si="11"/>
        <v/>
      </c>
      <c r="S88" s="20" t="str">
        <f t="shared" si="12"/>
        <v/>
      </c>
      <c r="V88" s="1" t="str">
        <f t="shared" si="13"/>
        <v/>
      </c>
    </row>
    <row r="89" spans="1:22" x14ac:dyDescent="0.2">
      <c r="A89" s="1" t="str">
        <f>IF(C89="","",SUMIF('Číselník škol'!$B$2:$B$11,'CH jednotlivci'!D89,'Číselník škol'!$A$2:$A$11)&amp;"/"&amp;COUNTIF($D$20:D89,D89))</f>
        <v/>
      </c>
      <c r="C89" s="7"/>
      <c r="D89" s="8"/>
      <c r="E89" s="17"/>
      <c r="F89" s="5" t="str">
        <f t="shared" si="14"/>
        <v/>
      </c>
      <c r="G89" s="9"/>
      <c r="H89" s="48"/>
      <c r="I89" s="5" t="str">
        <f t="shared" si="10"/>
        <v/>
      </c>
      <c r="J89" s="18"/>
      <c r="K89" s="5" t="str">
        <f t="shared" si="15"/>
        <v/>
      </c>
      <c r="L89" s="18"/>
      <c r="M89" s="5" t="str">
        <f t="shared" si="16"/>
        <v/>
      </c>
      <c r="N89" s="19"/>
      <c r="O89" s="5" t="str">
        <f t="shared" si="17"/>
        <v/>
      </c>
      <c r="P89" s="19"/>
      <c r="Q89" s="5" t="str">
        <f t="shared" si="18"/>
        <v/>
      </c>
      <c r="R89" s="6" t="str">
        <f t="shared" si="11"/>
        <v/>
      </c>
      <c r="S89" s="20" t="str">
        <f t="shared" si="12"/>
        <v/>
      </c>
      <c r="V89" s="1" t="str">
        <f t="shared" si="13"/>
        <v/>
      </c>
    </row>
    <row r="90" spans="1:22" x14ac:dyDescent="0.2">
      <c r="A90" s="1" t="str">
        <f>IF(C90="","",SUMIF('Číselník škol'!$B$2:$B$11,'CH jednotlivci'!D90,'Číselník škol'!$A$2:$A$11)&amp;"/"&amp;COUNTIF($D$20:D90,D90))</f>
        <v/>
      </c>
      <c r="C90" s="7"/>
      <c r="D90" s="8"/>
      <c r="E90" s="17"/>
      <c r="F90" s="5" t="str">
        <f t="shared" si="14"/>
        <v/>
      </c>
      <c r="G90" s="9"/>
      <c r="H90" s="48"/>
      <c r="I90" s="5" t="str">
        <f t="shared" si="10"/>
        <v/>
      </c>
      <c r="J90" s="18"/>
      <c r="K90" s="5" t="str">
        <f t="shared" si="15"/>
        <v/>
      </c>
      <c r="L90" s="18"/>
      <c r="M90" s="5" t="str">
        <f t="shared" si="16"/>
        <v/>
      </c>
      <c r="N90" s="19"/>
      <c r="O90" s="5" t="str">
        <f t="shared" si="17"/>
        <v/>
      </c>
      <c r="P90" s="19"/>
      <c r="Q90" s="5" t="str">
        <f t="shared" si="18"/>
        <v/>
      </c>
      <c r="R90" s="6" t="str">
        <f t="shared" si="11"/>
        <v/>
      </c>
      <c r="S90" s="20" t="str">
        <f t="shared" si="12"/>
        <v/>
      </c>
      <c r="V90" s="1" t="str">
        <f t="shared" si="13"/>
        <v/>
      </c>
    </row>
    <row r="91" spans="1:22" x14ac:dyDescent="0.2">
      <c r="A91" s="1" t="str">
        <f>IF(C91="","",SUMIF('Číselník škol'!$B$2:$B$11,'CH jednotlivci'!D91,'Číselník škol'!$A$2:$A$11)&amp;"/"&amp;COUNTIF($D$20:D91,D91))</f>
        <v/>
      </c>
      <c r="C91" s="7"/>
      <c r="D91" s="8"/>
      <c r="E91" s="17"/>
      <c r="F91" s="5" t="str">
        <f t="shared" si="14"/>
        <v/>
      </c>
      <c r="G91" s="9"/>
      <c r="H91" s="48"/>
      <c r="I91" s="5" t="str">
        <f t="shared" si="10"/>
        <v/>
      </c>
      <c r="J91" s="18"/>
      <c r="K91" s="5" t="str">
        <f t="shared" si="15"/>
        <v/>
      </c>
      <c r="L91" s="18"/>
      <c r="M91" s="5" t="str">
        <f t="shared" si="16"/>
        <v/>
      </c>
      <c r="N91" s="19"/>
      <c r="O91" s="5" t="str">
        <f t="shared" si="17"/>
        <v/>
      </c>
      <c r="P91" s="19"/>
      <c r="Q91" s="5" t="str">
        <f t="shared" si="18"/>
        <v/>
      </c>
      <c r="R91" s="6" t="str">
        <f t="shared" si="11"/>
        <v/>
      </c>
      <c r="S91" s="20" t="str">
        <f t="shared" si="12"/>
        <v/>
      </c>
      <c r="V91" s="1" t="str">
        <f t="shared" si="13"/>
        <v/>
      </c>
    </row>
    <row r="92" spans="1:22" x14ac:dyDescent="0.2">
      <c r="A92" s="1" t="str">
        <f>IF(C92="","",SUMIF('Číselník škol'!$B$2:$B$11,'CH jednotlivci'!D92,'Číselník škol'!$A$2:$A$11)&amp;"/"&amp;COUNTIF($D$20:D92,D92))</f>
        <v/>
      </c>
      <c r="C92" s="7"/>
      <c r="D92" s="8"/>
      <c r="E92" s="17"/>
      <c r="F92" s="5" t="str">
        <f t="shared" si="14"/>
        <v/>
      </c>
      <c r="G92" s="9"/>
      <c r="H92" s="48"/>
      <c r="I92" s="5" t="str">
        <f t="shared" si="10"/>
        <v/>
      </c>
      <c r="J92" s="18"/>
      <c r="K92" s="5" t="str">
        <f t="shared" si="15"/>
        <v/>
      </c>
      <c r="L92" s="18"/>
      <c r="M92" s="5" t="str">
        <f t="shared" si="16"/>
        <v/>
      </c>
      <c r="N92" s="19"/>
      <c r="O92" s="5" t="str">
        <f t="shared" si="17"/>
        <v/>
      </c>
      <c r="P92" s="19"/>
      <c r="Q92" s="5" t="str">
        <f t="shared" si="18"/>
        <v/>
      </c>
      <c r="R92" s="6" t="str">
        <f t="shared" si="11"/>
        <v/>
      </c>
      <c r="S92" s="20" t="str">
        <f t="shared" si="12"/>
        <v/>
      </c>
      <c r="V92" s="1" t="str">
        <f t="shared" si="13"/>
        <v/>
      </c>
    </row>
    <row r="93" spans="1:22" x14ac:dyDescent="0.2">
      <c r="A93" s="1" t="str">
        <f>IF(C93="","",SUMIF('Číselník škol'!$B$2:$B$11,'CH jednotlivci'!D93,'Číselník škol'!$A$2:$A$11)&amp;"/"&amp;COUNTIF($D$20:D93,D93))</f>
        <v/>
      </c>
      <c r="C93" s="7"/>
      <c r="D93" s="8"/>
      <c r="E93" s="17"/>
      <c r="F93" s="5" t="str">
        <f t="shared" si="14"/>
        <v/>
      </c>
      <c r="G93" s="9"/>
      <c r="H93" s="48"/>
      <c r="I93" s="5" t="str">
        <f t="shared" si="10"/>
        <v/>
      </c>
      <c r="J93" s="18"/>
      <c r="K93" s="5" t="str">
        <f t="shared" si="15"/>
        <v/>
      </c>
      <c r="L93" s="18"/>
      <c r="M93" s="5" t="str">
        <f t="shared" si="16"/>
        <v/>
      </c>
      <c r="N93" s="19"/>
      <c r="O93" s="5" t="str">
        <f t="shared" si="17"/>
        <v/>
      </c>
      <c r="P93" s="19"/>
      <c r="Q93" s="5" t="str">
        <f t="shared" si="18"/>
        <v/>
      </c>
      <c r="R93" s="6" t="str">
        <f t="shared" si="11"/>
        <v/>
      </c>
      <c r="S93" s="20" t="str">
        <f t="shared" si="12"/>
        <v/>
      </c>
      <c r="V93" s="1" t="str">
        <f t="shared" si="13"/>
        <v/>
      </c>
    </row>
    <row r="94" spans="1:22" x14ac:dyDescent="0.2">
      <c r="A94" s="1" t="str">
        <f>IF(C94="","",SUMIF('Číselník škol'!$B$2:$B$11,'CH jednotlivci'!D94,'Číselník škol'!$A$2:$A$11)&amp;"/"&amp;COUNTIF($D$20:D94,D94))</f>
        <v/>
      </c>
      <c r="C94" s="7"/>
      <c r="D94" s="8"/>
      <c r="E94" s="17"/>
      <c r="F94" s="5" t="str">
        <f t="shared" si="14"/>
        <v/>
      </c>
      <c r="G94" s="9"/>
      <c r="H94" s="48"/>
      <c r="I94" s="5" t="str">
        <f t="shared" si="10"/>
        <v/>
      </c>
      <c r="J94" s="18"/>
      <c r="K94" s="5" t="str">
        <f t="shared" si="15"/>
        <v/>
      </c>
      <c r="L94" s="18"/>
      <c r="M94" s="5" t="str">
        <f t="shared" si="16"/>
        <v/>
      </c>
      <c r="N94" s="19"/>
      <c r="O94" s="5" t="str">
        <f t="shared" si="17"/>
        <v/>
      </c>
      <c r="P94" s="19"/>
      <c r="Q94" s="5" t="str">
        <f t="shared" si="18"/>
        <v/>
      </c>
      <c r="R94" s="6" t="str">
        <f t="shared" si="11"/>
        <v/>
      </c>
      <c r="S94" s="20" t="str">
        <f t="shared" si="12"/>
        <v/>
      </c>
      <c r="V94" s="1" t="str">
        <f t="shared" si="13"/>
        <v/>
      </c>
    </row>
    <row r="95" spans="1:22" x14ac:dyDescent="0.2">
      <c r="A95" s="1" t="str">
        <f>IF(C95="","",SUMIF('Číselník škol'!$B$2:$B$11,'CH jednotlivci'!D95,'Číselník škol'!$A$2:$A$11)&amp;"/"&amp;COUNTIF($D$20:D95,D95))</f>
        <v/>
      </c>
      <c r="C95" s="7"/>
      <c r="D95" s="8"/>
      <c r="E95" s="17"/>
      <c r="F95" s="5" t="str">
        <f t="shared" si="14"/>
        <v/>
      </c>
      <c r="G95" s="9"/>
      <c r="H95" s="48"/>
      <c r="I95" s="5" t="str">
        <f t="shared" si="10"/>
        <v/>
      </c>
      <c r="J95" s="18"/>
      <c r="K95" s="5" t="str">
        <f t="shared" si="15"/>
        <v/>
      </c>
      <c r="L95" s="18"/>
      <c r="M95" s="5" t="str">
        <f t="shared" si="16"/>
        <v/>
      </c>
      <c r="N95" s="19"/>
      <c r="O95" s="5" t="str">
        <f t="shared" si="17"/>
        <v/>
      </c>
      <c r="P95" s="19"/>
      <c r="Q95" s="5" t="str">
        <f t="shared" si="18"/>
        <v/>
      </c>
      <c r="R95" s="6" t="str">
        <f t="shared" si="11"/>
        <v/>
      </c>
      <c r="S95" s="20" t="str">
        <f t="shared" si="12"/>
        <v/>
      </c>
      <c r="V95" s="1" t="str">
        <f t="shared" si="13"/>
        <v/>
      </c>
    </row>
    <row r="96" spans="1:22" x14ac:dyDescent="0.2">
      <c r="A96" s="1" t="str">
        <f>IF(C96="","",SUMIF('Číselník škol'!$B$2:$B$11,'CH jednotlivci'!D96,'Číselník škol'!$A$2:$A$11)&amp;"/"&amp;COUNTIF($D$20:D96,D96))</f>
        <v/>
      </c>
      <c r="C96" s="7"/>
      <c r="D96" s="8"/>
      <c r="E96" s="17"/>
      <c r="F96" s="5" t="str">
        <f t="shared" si="14"/>
        <v/>
      </c>
      <c r="G96" s="9"/>
      <c r="H96" s="48"/>
      <c r="I96" s="5" t="str">
        <f t="shared" si="10"/>
        <v/>
      </c>
      <c r="J96" s="18"/>
      <c r="K96" s="5" t="str">
        <f t="shared" si="15"/>
        <v/>
      </c>
      <c r="L96" s="18"/>
      <c r="M96" s="5" t="str">
        <f t="shared" si="16"/>
        <v/>
      </c>
      <c r="N96" s="19"/>
      <c r="O96" s="5" t="str">
        <f t="shared" si="17"/>
        <v/>
      </c>
      <c r="P96" s="19"/>
      <c r="Q96" s="5" t="str">
        <f t="shared" si="18"/>
        <v/>
      </c>
      <c r="R96" s="6" t="str">
        <f t="shared" si="11"/>
        <v/>
      </c>
      <c r="S96" s="20" t="str">
        <f t="shared" si="12"/>
        <v/>
      </c>
      <c r="V96" s="1" t="str">
        <f t="shared" si="13"/>
        <v/>
      </c>
    </row>
    <row r="97" spans="1:22" x14ac:dyDescent="0.2">
      <c r="A97" s="1" t="str">
        <f>IF(C97="","",SUMIF('Číselník škol'!$B$2:$B$11,'CH jednotlivci'!D97,'Číselník škol'!$A$2:$A$11)&amp;"/"&amp;COUNTIF($D$20:D97,D97))</f>
        <v/>
      </c>
      <c r="C97" s="7"/>
      <c r="D97" s="8"/>
      <c r="E97" s="17"/>
      <c r="F97" s="5" t="str">
        <f t="shared" si="14"/>
        <v/>
      </c>
      <c r="G97" s="9"/>
      <c r="H97" s="48"/>
      <c r="I97" s="5" t="str">
        <f t="shared" si="10"/>
        <v/>
      </c>
      <c r="J97" s="18"/>
      <c r="K97" s="5" t="str">
        <f t="shared" si="15"/>
        <v/>
      </c>
      <c r="L97" s="18"/>
      <c r="M97" s="5" t="str">
        <f t="shared" si="16"/>
        <v/>
      </c>
      <c r="N97" s="19"/>
      <c r="O97" s="5" t="str">
        <f t="shared" si="17"/>
        <v/>
      </c>
      <c r="P97" s="19"/>
      <c r="Q97" s="5" t="str">
        <f t="shared" si="18"/>
        <v/>
      </c>
      <c r="R97" s="6" t="str">
        <f t="shared" si="11"/>
        <v/>
      </c>
      <c r="S97" s="20" t="str">
        <f t="shared" si="12"/>
        <v/>
      </c>
      <c r="V97" s="1" t="str">
        <f t="shared" si="13"/>
        <v/>
      </c>
    </row>
    <row r="98" spans="1:22" x14ac:dyDescent="0.2">
      <c r="A98" s="1" t="str">
        <f>IF(C98="","",SUMIF('Číselník škol'!$B$2:$B$11,'CH jednotlivci'!D98,'Číselník škol'!$A$2:$A$11)&amp;"/"&amp;COUNTIF($D$20:D98,D98))</f>
        <v/>
      </c>
      <c r="C98" s="7"/>
      <c r="D98" s="8"/>
      <c r="E98" s="17"/>
      <c r="F98" s="5" t="str">
        <f t="shared" si="14"/>
        <v/>
      </c>
      <c r="G98" s="9"/>
      <c r="H98" s="48"/>
      <c r="I98" s="5" t="str">
        <f t="shared" si="10"/>
        <v/>
      </c>
      <c r="J98" s="18"/>
      <c r="K98" s="5" t="str">
        <f t="shared" si="15"/>
        <v/>
      </c>
      <c r="L98" s="18"/>
      <c r="M98" s="5" t="str">
        <f t="shared" si="16"/>
        <v/>
      </c>
      <c r="N98" s="19"/>
      <c r="O98" s="5" t="str">
        <f t="shared" si="17"/>
        <v/>
      </c>
      <c r="P98" s="19"/>
      <c r="Q98" s="5" t="str">
        <f t="shared" si="18"/>
        <v/>
      </c>
      <c r="R98" s="6" t="str">
        <f t="shared" si="11"/>
        <v/>
      </c>
      <c r="S98" s="20" t="str">
        <f t="shared" si="12"/>
        <v/>
      </c>
      <c r="V98" s="1" t="str">
        <f t="shared" si="13"/>
        <v/>
      </c>
    </row>
    <row r="99" spans="1:22" x14ac:dyDescent="0.2">
      <c r="A99" s="1" t="str">
        <f>IF(C99="","",SUMIF('Číselník škol'!$B$2:$B$11,'CH jednotlivci'!D99,'Číselník škol'!$A$2:$A$11)&amp;"/"&amp;COUNTIF($D$20:D99,D99))</f>
        <v/>
      </c>
      <c r="C99" s="7"/>
      <c r="D99" s="8"/>
      <c r="E99" s="17"/>
      <c r="F99" s="5" t="str">
        <f t="shared" si="14"/>
        <v/>
      </c>
      <c r="G99" s="9"/>
      <c r="H99" s="48"/>
      <c r="I99" s="5" t="str">
        <f t="shared" si="10"/>
        <v/>
      </c>
      <c r="J99" s="18"/>
      <c r="K99" s="5" t="str">
        <f t="shared" si="15"/>
        <v/>
      </c>
      <c r="L99" s="18"/>
      <c r="M99" s="5" t="str">
        <f t="shared" si="16"/>
        <v/>
      </c>
      <c r="N99" s="19"/>
      <c r="O99" s="5" t="str">
        <f t="shared" si="17"/>
        <v/>
      </c>
      <c r="P99" s="19"/>
      <c r="Q99" s="5" t="str">
        <f t="shared" si="18"/>
        <v/>
      </c>
      <c r="R99" s="6" t="str">
        <f t="shared" si="11"/>
        <v/>
      </c>
      <c r="S99" s="20" t="str">
        <f t="shared" si="12"/>
        <v/>
      </c>
      <c r="V99" s="1" t="str">
        <f t="shared" si="13"/>
        <v/>
      </c>
    </row>
    <row r="100" spans="1:22" x14ac:dyDescent="0.2">
      <c r="A100" s="1" t="str">
        <f>IF(C100="","",SUMIF('Číselník škol'!$B$2:$B$11,'CH jednotlivci'!D100,'Číselník škol'!$A$2:$A$11)&amp;"/"&amp;COUNTIF($D$20:D100,D100))</f>
        <v/>
      </c>
      <c r="C100" s="7"/>
      <c r="D100" s="8"/>
      <c r="E100" s="17"/>
      <c r="F100" s="5" t="str">
        <f t="shared" si="14"/>
        <v/>
      </c>
      <c r="G100" s="9"/>
      <c r="H100" s="48"/>
      <c r="I100" s="5" t="str">
        <f t="shared" si="10"/>
        <v/>
      </c>
      <c r="J100" s="18"/>
      <c r="K100" s="5" t="str">
        <f t="shared" si="15"/>
        <v/>
      </c>
      <c r="L100" s="18"/>
      <c r="M100" s="5" t="str">
        <f t="shared" si="16"/>
        <v/>
      </c>
      <c r="N100" s="19"/>
      <c r="O100" s="5" t="str">
        <f t="shared" si="17"/>
        <v/>
      </c>
      <c r="P100" s="19"/>
      <c r="Q100" s="5" t="str">
        <f t="shared" si="18"/>
        <v/>
      </c>
      <c r="R100" s="6" t="str">
        <f t="shared" si="11"/>
        <v/>
      </c>
      <c r="S100" s="20" t="str">
        <f t="shared" si="12"/>
        <v/>
      </c>
      <c r="V100" s="1" t="str">
        <f t="shared" si="13"/>
        <v/>
      </c>
    </row>
    <row r="101" spans="1:22" x14ac:dyDescent="0.2">
      <c r="A101" s="1" t="str">
        <f>IF(C101="","",SUMIF('Číselník škol'!$B$2:$B$11,'CH jednotlivci'!D101,'Číselník škol'!$A$2:$A$11)&amp;"/"&amp;COUNTIF($D$20:D101,D101))</f>
        <v/>
      </c>
      <c r="C101" s="7"/>
      <c r="D101" s="8"/>
      <c r="E101" s="17"/>
      <c r="F101" s="5" t="str">
        <f t="shared" si="14"/>
        <v/>
      </c>
      <c r="G101" s="9"/>
      <c r="H101" s="48"/>
      <c r="I101" s="5" t="str">
        <f t="shared" si="10"/>
        <v/>
      </c>
      <c r="J101" s="18"/>
      <c r="K101" s="5" t="str">
        <f t="shared" si="15"/>
        <v/>
      </c>
      <c r="L101" s="18"/>
      <c r="M101" s="5" t="str">
        <f t="shared" si="16"/>
        <v/>
      </c>
      <c r="N101" s="19"/>
      <c r="O101" s="5" t="str">
        <f t="shared" si="17"/>
        <v/>
      </c>
      <c r="P101" s="19"/>
      <c r="Q101" s="5" t="str">
        <f t="shared" si="18"/>
        <v/>
      </c>
      <c r="R101" s="6" t="str">
        <f t="shared" si="11"/>
        <v/>
      </c>
      <c r="S101" s="20" t="str">
        <f t="shared" si="12"/>
        <v/>
      </c>
      <c r="V101" s="1" t="str">
        <f t="shared" si="13"/>
        <v/>
      </c>
    </row>
    <row r="102" spans="1:22" x14ac:dyDescent="0.2">
      <c r="A102" s="1" t="str">
        <f>IF(C102="","",SUMIF('Číselník škol'!$B$2:$B$11,'CH jednotlivci'!D102,'Číselník škol'!$A$2:$A$11)&amp;"/"&amp;COUNTIF($D$20:D102,D102))</f>
        <v/>
      </c>
      <c r="C102" s="7"/>
      <c r="D102" s="8"/>
      <c r="E102" s="17"/>
      <c r="F102" s="5" t="str">
        <f t="shared" si="14"/>
        <v/>
      </c>
      <c r="G102" s="9"/>
      <c r="H102" s="48"/>
      <c r="I102" s="5" t="str">
        <f t="shared" si="10"/>
        <v/>
      </c>
      <c r="J102" s="18"/>
      <c r="K102" s="5" t="str">
        <f t="shared" si="15"/>
        <v/>
      </c>
      <c r="L102" s="18"/>
      <c r="M102" s="5" t="str">
        <f t="shared" si="16"/>
        <v/>
      </c>
      <c r="N102" s="19"/>
      <c r="O102" s="5" t="str">
        <f t="shared" si="17"/>
        <v/>
      </c>
      <c r="P102" s="19"/>
      <c r="Q102" s="5" t="str">
        <f t="shared" si="18"/>
        <v/>
      </c>
      <c r="R102" s="6" t="str">
        <f t="shared" si="11"/>
        <v/>
      </c>
      <c r="S102" s="20" t="str">
        <f t="shared" si="12"/>
        <v/>
      </c>
      <c r="V102" s="1" t="str">
        <f t="shared" si="13"/>
        <v/>
      </c>
    </row>
    <row r="103" spans="1:22" x14ac:dyDescent="0.2">
      <c r="A103" s="1" t="str">
        <f>IF(C103="","",SUMIF('Číselník škol'!$B$2:$B$11,'CH jednotlivci'!D103,'Číselník škol'!$A$2:$A$11)&amp;"/"&amp;COUNTIF($D$20:D103,D103))</f>
        <v/>
      </c>
      <c r="C103" s="7"/>
      <c r="D103" s="8"/>
      <c r="E103" s="17"/>
      <c r="F103" s="5" t="str">
        <f t="shared" si="14"/>
        <v/>
      </c>
      <c r="G103" s="9"/>
      <c r="H103" s="48"/>
      <c r="I103" s="5" t="str">
        <f t="shared" si="10"/>
        <v/>
      </c>
      <c r="J103" s="18"/>
      <c r="K103" s="5" t="str">
        <f t="shared" si="15"/>
        <v/>
      </c>
      <c r="L103" s="18"/>
      <c r="M103" s="5" t="str">
        <f t="shared" si="16"/>
        <v/>
      </c>
      <c r="N103" s="19"/>
      <c r="O103" s="5" t="str">
        <f t="shared" si="17"/>
        <v/>
      </c>
      <c r="P103" s="19"/>
      <c r="Q103" s="5" t="str">
        <f t="shared" si="18"/>
        <v/>
      </c>
      <c r="R103" s="6" t="str">
        <f t="shared" si="11"/>
        <v/>
      </c>
      <c r="S103" s="20" t="str">
        <f t="shared" si="12"/>
        <v/>
      </c>
      <c r="V103" s="1" t="str">
        <f t="shared" si="13"/>
        <v/>
      </c>
    </row>
    <row r="104" spans="1:22" x14ac:dyDescent="0.2">
      <c r="A104" s="1" t="str">
        <f>IF(C104="","",SUMIF('Číselník škol'!$B$2:$B$11,'CH jednotlivci'!D104,'Číselník škol'!$A$2:$A$11)&amp;"/"&amp;COUNTIF($D$20:D104,D104))</f>
        <v/>
      </c>
      <c r="C104" s="7"/>
      <c r="D104" s="8"/>
      <c r="E104" s="17"/>
      <c r="F104" s="5" t="str">
        <f t="shared" si="14"/>
        <v/>
      </c>
      <c r="G104" s="9"/>
      <c r="H104" s="48"/>
      <c r="I104" s="5" t="str">
        <f t="shared" si="10"/>
        <v/>
      </c>
      <c r="J104" s="18"/>
      <c r="K104" s="5" t="str">
        <f t="shared" si="15"/>
        <v/>
      </c>
      <c r="L104" s="18"/>
      <c r="M104" s="5" t="str">
        <f t="shared" si="16"/>
        <v/>
      </c>
      <c r="N104" s="19"/>
      <c r="O104" s="5" t="str">
        <f t="shared" si="17"/>
        <v/>
      </c>
      <c r="P104" s="19"/>
      <c r="Q104" s="5" t="str">
        <f t="shared" si="18"/>
        <v/>
      </c>
      <c r="R104" s="6" t="str">
        <f t="shared" si="11"/>
        <v/>
      </c>
      <c r="S104" s="20" t="str">
        <f t="shared" si="12"/>
        <v/>
      </c>
      <c r="V104" s="1" t="str">
        <f t="shared" si="13"/>
        <v/>
      </c>
    </row>
    <row r="105" spans="1:22" x14ac:dyDescent="0.2">
      <c r="A105" s="1" t="str">
        <f>IF(C105="","",SUMIF('Číselník škol'!$B$2:$B$11,'CH jednotlivci'!D105,'Číselník škol'!$A$2:$A$11)&amp;"/"&amp;COUNTIF($D$20:D105,D105))</f>
        <v/>
      </c>
      <c r="C105" s="7"/>
      <c r="D105" s="8"/>
      <c r="E105" s="17"/>
      <c r="F105" s="5" t="str">
        <f t="shared" si="14"/>
        <v/>
      </c>
      <c r="G105" s="9"/>
      <c r="H105" s="48"/>
      <c r="I105" s="5" t="str">
        <f t="shared" si="10"/>
        <v/>
      </c>
      <c r="J105" s="18"/>
      <c r="K105" s="5" t="str">
        <f t="shared" si="15"/>
        <v/>
      </c>
      <c r="L105" s="18"/>
      <c r="M105" s="5" t="str">
        <f t="shared" si="16"/>
        <v/>
      </c>
      <c r="N105" s="19"/>
      <c r="O105" s="5" t="str">
        <f t="shared" si="17"/>
        <v/>
      </c>
      <c r="P105" s="19"/>
      <c r="Q105" s="5" t="str">
        <f t="shared" si="18"/>
        <v/>
      </c>
      <c r="R105" s="6" t="str">
        <f t="shared" si="11"/>
        <v/>
      </c>
      <c r="S105" s="20" t="str">
        <f t="shared" si="12"/>
        <v/>
      </c>
      <c r="V105" s="1" t="str">
        <f t="shared" si="13"/>
        <v/>
      </c>
    </row>
    <row r="106" spans="1:22" x14ac:dyDescent="0.2">
      <c r="A106" s="1" t="str">
        <f>IF(C106="","",SUMIF('Číselník škol'!$B$2:$B$11,'CH jednotlivci'!D106,'Číselník škol'!$A$2:$A$11)&amp;"/"&amp;COUNTIF($D$20:D106,D106))</f>
        <v/>
      </c>
      <c r="C106" s="7"/>
      <c r="D106" s="8"/>
      <c r="E106" s="17"/>
      <c r="F106" s="5" t="str">
        <f t="shared" si="14"/>
        <v/>
      </c>
      <c r="G106" s="9"/>
      <c r="H106" s="48"/>
      <c r="I106" s="5" t="str">
        <f t="shared" si="10"/>
        <v/>
      </c>
      <c r="J106" s="18"/>
      <c r="K106" s="5" t="str">
        <f t="shared" si="15"/>
        <v/>
      </c>
      <c r="L106" s="18"/>
      <c r="M106" s="5" t="str">
        <f t="shared" si="16"/>
        <v/>
      </c>
      <c r="N106" s="19"/>
      <c r="O106" s="5" t="str">
        <f t="shared" si="17"/>
        <v/>
      </c>
      <c r="P106" s="19"/>
      <c r="Q106" s="5" t="str">
        <f t="shared" si="18"/>
        <v/>
      </c>
      <c r="R106" s="6" t="str">
        <f t="shared" si="11"/>
        <v/>
      </c>
      <c r="S106" s="20" t="str">
        <f t="shared" si="12"/>
        <v/>
      </c>
      <c r="V106" s="1" t="str">
        <f t="shared" si="13"/>
        <v/>
      </c>
    </row>
    <row r="107" spans="1:22" x14ac:dyDescent="0.2">
      <c r="A107" s="1" t="str">
        <f>IF(C107="","",SUMIF('Číselník škol'!$B$2:$B$11,'CH jednotlivci'!D107,'Číselník škol'!$A$2:$A$11)&amp;"/"&amp;COUNTIF($D$20:D107,D107))</f>
        <v/>
      </c>
      <c r="C107" s="7"/>
      <c r="D107" s="8"/>
      <c r="E107" s="17"/>
      <c r="F107" s="5" t="str">
        <f t="shared" si="14"/>
        <v/>
      </c>
      <c r="G107" s="9"/>
      <c r="H107" s="48"/>
      <c r="I107" s="5" t="str">
        <f t="shared" si="10"/>
        <v/>
      </c>
      <c r="J107" s="18"/>
      <c r="K107" s="5" t="str">
        <f t="shared" si="15"/>
        <v/>
      </c>
      <c r="L107" s="18"/>
      <c r="M107" s="5" t="str">
        <f t="shared" si="16"/>
        <v/>
      </c>
      <c r="N107" s="19"/>
      <c r="O107" s="5" t="str">
        <f t="shared" si="17"/>
        <v/>
      </c>
      <c r="P107" s="19"/>
      <c r="Q107" s="5" t="str">
        <f t="shared" si="18"/>
        <v/>
      </c>
      <c r="R107" s="6" t="str">
        <f t="shared" si="11"/>
        <v/>
      </c>
      <c r="S107" s="20" t="str">
        <f t="shared" si="12"/>
        <v/>
      </c>
      <c r="V107" s="1" t="str">
        <f t="shared" si="13"/>
        <v/>
      </c>
    </row>
    <row r="108" spans="1:22" x14ac:dyDescent="0.2">
      <c r="A108" s="1" t="str">
        <f>IF(C108="","",SUMIF('Číselník škol'!$B$2:$B$11,'CH jednotlivci'!D108,'Číselník škol'!$A$2:$A$11)&amp;"/"&amp;COUNTIF($D$20:D108,D108))</f>
        <v/>
      </c>
      <c r="C108" s="7"/>
      <c r="D108" s="8"/>
      <c r="E108" s="17"/>
      <c r="F108" s="5" t="str">
        <f t="shared" si="14"/>
        <v/>
      </c>
      <c r="G108" s="9"/>
      <c r="H108" s="48"/>
      <c r="I108" s="5" t="str">
        <f t="shared" si="10"/>
        <v/>
      </c>
      <c r="J108" s="18"/>
      <c r="K108" s="5" t="str">
        <f t="shared" si="15"/>
        <v/>
      </c>
      <c r="L108" s="18"/>
      <c r="M108" s="5" t="str">
        <f t="shared" si="16"/>
        <v/>
      </c>
      <c r="N108" s="19"/>
      <c r="O108" s="5" t="str">
        <f t="shared" si="17"/>
        <v/>
      </c>
      <c r="P108" s="19"/>
      <c r="Q108" s="5" t="str">
        <f t="shared" si="18"/>
        <v/>
      </c>
      <c r="R108" s="6" t="str">
        <f t="shared" si="11"/>
        <v/>
      </c>
      <c r="S108" s="20" t="str">
        <f t="shared" si="12"/>
        <v/>
      </c>
      <c r="V108" s="1" t="str">
        <f t="shared" si="13"/>
        <v/>
      </c>
    </row>
    <row r="109" spans="1:22" x14ac:dyDescent="0.2">
      <c r="A109" s="1" t="str">
        <f>IF(C109="","",SUMIF('Číselník škol'!$B$2:$B$11,'CH jednotlivci'!D109,'Číselník škol'!$A$2:$A$11)&amp;"/"&amp;COUNTIF($D$20:D109,D109))</f>
        <v/>
      </c>
      <c r="C109" s="7"/>
      <c r="D109" s="8"/>
      <c r="E109" s="17"/>
      <c r="F109" s="5" t="str">
        <f t="shared" si="14"/>
        <v/>
      </c>
      <c r="G109" s="9"/>
      <c r="H109" s="48"/>
      <c r="I109" s="5" t="str">
        <f t="shared" si="10"/>
        <v/>
      </c>
      <c r="J109" s="18"/>
      <c r="K109" s="5" t="str">
        <f t="shared" si="15"/>
        <v/>
      </c>
      <c r="L109" s="18"/>
      <c r="M109" s="5" t="str">
        <f t="shared" si="16"/>
        <v/>
      </c>
      <c r="N109" s="19"/>
      <c r="O109" s="5" t="str">
        <f t="shared" si="17"/>
        <v/>
      </c>
      <c r="P109" s="19"/>
      <c r="Q109" s="5" t="str">
        <f t="shared" si="18"/>
        <v/>
      </c>
      <c r="R109" s="6" t="str">
        <f t="shared" si="11"/>
        <v/>
      </c>
      <c r="S109" s="20" t="str">
        <f t="shared" si="12"/>
        <v/>
      </c>
      <c r="V109" s="1" t="str">
        <f t="shared" si="13"/>
        <v/>
      </c>
    </row>
    <row r="110" spans="1:22" x14ac:dyDescent="0.2">
      <c r="A110" s="1" t="str">
        <f>IF(C110="","",SUMIF('Číselník škol'!$B$2:$B$11,'CH jednotlivci'!D110,'Číselník škol'!$A$2:$A$11)&amp;"/"&amp;COUNTIF($D$20:D110,D110))</f>
        <v/>
      </c>
      <c r="C110" s="7"/>
      <c r="D110" s="8"/>
      <c r="E110" s="17"/>
      <c r="F110" s="5" t="str">
        <f t="shared" si="14"/>
        <v/>
      </c>
      <c r="G110" s="9"/>
      <c r="H110" s="48"/>
      <c r="I110" s="5" t="str">
        <f t="shared" si="10"/>
        <v/>
      </c>
      <c r="J110" s="18"/>
      <c r="K110" s="5" t="str">
        <f t="shared" si="15"/>
        <v/>
      </c>
      <c r="L110" s="18"/>
      <c r="M110" s="5" t="str">
        <f t="shared" si="16"/>
        <v/>
      </c>
      <c r="N110" s="19"/>
      <c r="O110" s="5" t="str">
        <f t="shared" si="17"/>
        <v/>
      </c>
      <c r="P110" s="19"/>
      <c r="Q110" s="5" t="str">
        <f t="shared" si="18"/>
        <v/>
      </c>
      <c r="R110" s="6" t="str">
        <f t="shared" si="11"/>
        <v/>
      </c>
      <c r="S110" s="20" t="str">
        <f t="shared" si="12"/>
        <v/>
      </c>
      <c r="V110" s="1" t="str">
        <f t="shared" si="13"/>
        <v/>
      </c>
    </row>
    <row r="111" spans="1:22" x14ac:dyDescent="0.2">
      <c r="A111" s="1" t="str">
        <f>IF(C111="","",SUMIF('Číselník škol'!$B$2:$B$11,'CH jednotlivci'!D111,'Číselník škol'!$A$2:$A$11)&amp;"/"&amp;COUNTIF($D$20:D111,D111))</f>
        <v/>
      </c>
      <c r="C111" s="7"/>
      <c r="D111" s="8"/>
      <c r="E111" s="17"/>
      <c r="F111" s="5" t="str">
        <f t="shared" si="14"/>
        <v/>
      </c>
      <c r="G111" s="9"/>
      <c r="H111" s="48"/>
      <c r="I111" s="5" t="str">
        <f t="shared" si="10"/>
        <v/>
      </c>
      <c r="J111" s="18"/>
      <c r="K111" s="5" t="str">
        <f t="shared" si="15"/>
        <v/>
      </c>
      <c r="L111" s="18"/>
      <c r="M111" s="5" t="str">
        <f t="shared" si="16"/>
        <v/>
      </c>
      <c r="N111" s="19"/>
      <c r="O111" s="5" t="str">
        <f t="shared" si="17"/>
        <v/>
      </c>
      <c r="P111" s="19"/>
      <c r="Q111" s="5" t="str">
        <f t="shared" si="18"/>
        <v/>
      </c>
      <c r="R111" s="6" t="str">
        <f t="shared" si="11"/>
        <v/>
      </c>
      <c r="S111" s="20" t="str">
        <f t="shared" si="12"/>
        <v/>
      </c>
      <c r="V111" s="1" t="str">
        <f t="shared" si="13"/>
        <v/>
      </c>
    </row>
    <row r="112" spans="1:22" x14ac:dyDescent="0.2">
      <c r="A112" s="1" t="str">
        <f>IF(C112="","",SUMIF('Číselník škol'!$B$2:$B$11,'CH jednotlivci'!D112,'Číselník škol'!$A$2:$A$11)&amp;"/"&amp;COUNTIF($D$20:D112,D112))</f>
        <v/>
      </c>
      <c r="C112" s="7"/>
      <c r="D112" s="8"/>
      <c r="E112" s="17"/>
      <c r="F112" s="5" t="str">
        <f t="shared" si="14"/>
        <v/>
      </c>
      <c r="G112" s="9"/>
      <c r="H112" s="48"/>
      <c r="I112" s="5" t="str">
        <f t="shared" si="10"/>
        <v/>
      </c>
      <c r="J112" s="18"/>
      <c r="K112" s="5" t="str">
        <f t="shared" si="15"/>
        <v/>
      </c>
      <c r="L112" s="18"/>
      <c r="M112" s="5" t="str">
        <f t="shared" si="16"/>
        <v/>
      </c>
      <c r="N112" s="19"/>
      <c r="O112" s="5" t="str">
        <f t="shared" si="17"/>
        <v/>
      </c>
      <c r="P112" s="19"/>
      <c r="Q112" s="5" t="str">
        <f t="shared" si="18"/>
        <v/>
      </c>
      <c r="R112" s="6" t="str">
        <f t="shared" si="11"/>
        <v/>
      </c>
      <c r="S112" s="20" t="str">
        <f t="shared" si="12"/>
        <v/>
      </c>
      <c r="V112" s="1" t="str">
        <f t="shared" si="13"/>
        <v/>
      </c>
    </row>
    <row r="113" spans="1:22" x14ac:dyDescent="0.2">
      <c r="A113" s="1" t="str">
        <f>IF(C113="","",SUMIF('Číselník škol'!$B$2:$B$11,'CH jednotlivci'!D113,'Číselník škol'!$A$2:$A$11)&amp;"/"&amp;COUNTIF($D$20:D113,D113))</f>
        <v/>
      </c>
      <c r="C113" s="7"/>
      <c r="D113" s="8"/>
      <c r="E113" s="17"/>
      <c r="F113" s="5" t="str">
        <f t="shared" si="14"/>
        <v/>
      </c>
      <c r="G113" s="9"/>
      <c r="H113" s="48"/>
      <c r="I113" s="5" t="str">
        <f t="shared" ref="I113:I136" si="19">IF(G113="","",IF(G113*60+H113&gt;305.5,0,INT(0.08713*POWER(305.5-(G113*60+H113),1.85))))</f>
        <v/>
      </c>
      <c r="J113" s="18"/>
      <c r="K113" s="5" t="str">
        <f t="shared" si="15"/>
        <v/>
      </c>
      <c r="L113" s="18"/>
      <c r="M113" s="5" t="str">
        <f t="shared" si="16"/>
        <v/>
      </c>
      <c r="N113" s="19"/>
      <c r="O113" s="5" t="str">
        <f t="shared" si="17"/>
        <v/>
      </c>
      <c r="P113" s="19"/>
      <c r="Q113" s="5" t="str">
        <f t="shared" si="18"/>
        <v/>
      </c>
      <c r="R113" s="6" t="str">
        <f t="shared" si="11"/>
        <v/>
      </c>
      <c r="S113" s="20" t="str">
        <f t="shared" si="12"/>
        <v/>
      </c>
      <c r="V113" s="1" t="str">
        <f t="shared" si="13"/>
        <v/>
      </c>
    </row>
    <row r="114" spans="1:22" x14ac:dyDescent="0.2">
      <c r="A114" s="1" t="str">
        <f>IF(C114="","",SUMIF('Číselník škol'!$B$2:$B$11,'CH jednotlivci'!D114,'Číselník škol'!$A$2:$A$11)&amp;"/"&amp;COUNTIF($D$20:D114,D114))</f>
        <v/>
      </c>
      <c r="C114" s="7"/>
      <c r="D114" s="8"/>
      <c r="E114" s="17"/>
      <c r="F114" s="5" t="str">
        <f t="shared" si="14"/>
        <v/>
      </c>
      <c r="G114" s="9"/>
      <c r="H114" s="48"/>
      <c r="I114" s="5" t="str">
        <f t="shared" si="19"/>
        <v/>
      </c>
      <c r="J114" s="18"/>
      <c r="K114" s="5" t="str">
        <f t="shared" si="15"/>
        <v/>
      </c>
      <c r="L114" s="18"/>
      <c r="M114" s="5" t="str">
        <f t="shared" si="16"/>
        <v/>
      </c>
      <c r="N114" s="19"/>
      <c r="O114" s="5" t="str">
        <f t="shared" si="17"/>
        <v/>
      </c>
      <c r="P114" s="19"/>
      <c r="Q114" s="5" t="str">
        <f t="shared" si="18"/>
        <v/>
      </c>
      <c r="R114" s="6" t="str">
        <f t="shared" si="11"/>
        <v/>
      </c>
      <c r="S114" s="20" t="str">
        <f t="shared" si="12"/>
        <v/>
      </c>
      <c r="V114" s="1" t="str">
        <f t="shared" si="13"/>
        <v/>
      </c>
    </row>
    <row r="115" spans="1:22" x14ac:dyDescent="0.2">
      <c r="A115" s="1" t="str">
        <f>IF(C115="","",SUMIF('Číselník škol'!$B$2:$B$11,'CH jednotlivci'!D115,'Číselník škol'!$A$2:$A$11)&amp;"/"&amp;COUNTIF($D$20:D115,D115))</f>
        <v/>
      </c>
      <c r="C115" s="7"/>
      <c r="D115" s="8"/>
      <c r="E115" s="17"/>
      <c r="F115" s="5" t="str">
        <f t="shared" si="14"/>
        <v/>
      </c>
      <c r="G115" s="9"/>
      <c r="H115" s="48"/>
      <c r="I115" s="5" t="str">
        <f t="shared" si="19"/>
        <v/>
      </c>
      <c r="J115" s="18"/>
      <c r="K115" s="5" t="str">
        <f t="shared" si="15"/>
        <v/>
      </c>
      <c r="L115" s="18"/>
      <c r="M115" s="5" t="str">
        <f t="shared" si="16"/>
        <v/>
      </c>
      <c r="N115" s="19"/>
      <c r="O115" s="5" t="str">
        <f t="shared" si="17"/>
        <v/>
      </c>
      <c r="P115" s="19"/>
      <c r="Q115" s="5" t="str">
        <f t="shared" si="18"/>
        <v/>
      </c>
      <c r="R115" s="6" t="str">
        <f t="shared" si="11"/>
        <v/>
      </c>
      <c r="S115" s="20" t="str">
        <f t="shared" si="12"/>
        <v/>
      </c>
      <c r="V115" s="1" t="str">
        <f t="shared" si="13"/>
        <v/>
      </c>
    </row>
    <row r="116" spans="1:22" x14ac:dyDescent="0.2">
      <c r="A116" s="1" t="str">
        <f>IF(C116="","",SUMIF('Číselník škol'!$B$2:$B$11,'CH jednotlivci'!D116,'Číselník škol'!$A$2:$A$11)&amp;"/"&amp;COUNTIF($D$20:D116,D116))</f>
        <v/>
      </c>
      <c r="C116" s="7"/>
      <c r="D116" s="8"/>
      <c r="E116" s="17"/>
      <c r="F116" s="5" t="str">
        <f t="shared" si="14"/>
        <v/>
      </c>
      <c r="G116" s="9"/>
      <c r="H116" s="48"/>
      <c r="I116" s="5" t="str">
        <f t="shared" si="19"/>
        <v/>
      </c>
      <c r="J116" s="18"/>
      <c r="K116" s="5" t="str">
        <f t="shared" si="15"/>
        <v/>
      </c>
      <c r="L116" s="18"/>
      <c r="M116" s="5" t="str">
        <f t="shared" si="16"/>
        <v/>
      </c>
      <c r="N116" s="19"/>
      <c r="O116" s="5" t="str">
        <f t="shared" si="17"/>
        <v/>
      </c>
      <c r="P116" s="19"/>
      <c r="Q116" s="5" t="str">
        <f t="shared" si="18"/>
        <v/>
      </c>
      <c r="R116" s="6" t="str">
        <f t="shared" si="11"/>
        <v/>
      </c>
      <c r="S116" s="20" t="str">
        <f t="shared" si="12"/>
        <v/>
      </c>
      <c r="V116" s="1" t="str">
        <f t="shared" si="13"/>
        <v/>
      </c>
    </row>
    <row r="117" spans="1:22" x14ac:dyDescent="0.2">
      <c r="A117" s="1" t="str">
        <f>IF(C117="","",SUMIF('Číselník škol'!$B$2:$B$11,'CH jednotlivci'!D117,'Číselník škol'!$A$2:$A$11)&amp;"/"&amp;COUNTIF($D$20:D117,D117))</f>
        <v/>
      </c>
      <c r="C117" s="7"/>
      <c r="D117" s="8"/>
      <c r="E117" s="17"/>
      <c r="F117" s="5" t="str">
        <f t="shared" si="14"/>
        <v/>
      </c>
      <c r="G117" s="9"/>
      <c r="H117" s="48"/>
      <c r="I117" s="5" t="str">
        <f t="shared" si="19"/>
        <v/>
      </c>
      <c r="J117" s="18"/>
      <c r="K117" s="5" t="str">
        <f t="shared" si="15"/>
        <v/>
      </c>
      <c r="L117" s="18"/>
      <c r="M117" s="5" t="str">
        <f t="shared" si="16"/>
        <v/>
      </c>
      <c r="N117" s="19"/>
      <c r="O117" s="5" t="str">
        <f t="shared" si="17"/>
        <v/>
      </c>
      <c r="P117" s="19"/>
      <c r="Q117" s="5" t="str">
        <f t="shared" si="18"/>
        <v/>
      </c>
      <c r="R117" s="6" t="str">
        <f t="shared" si="11"/>
        <v/>
      </c>
      <c r="S117" s="20" t="str">
        <f t="shared" si="12"/>
        <v/>
      </c>
      <c r="V117" s="1" t="str">
        <f t="shared" si="13"/>
        <v/>
      </c>
    </row>
    <row r="118" spans="1:22" x14ac:dyDescent="0.2">
      <c r="A118" s="1" t="str">
        <f>IF(C118="","",SUMIF('Číselník škol'!$B$2:$B$11,'CH jednotlivci'!D118,'Číselník škol'!$A$2:$A$11)&amp;"/"&amp;COUNTIF($D$20:D118,D118))</f>
        <v/>
      </c>
      <c r="C118" s="7"/>
      <c r="D118" s="8"/>
      <c r="E118" s="17"/>
      <c r="F118" s="5" t="str">
        <f t="shared" si="14"/>
        <v/>
      </c>
      <c r="G118" s="9"/>
      <c r="H118" s="48"/>
      <c r="I118" s="5" t="str">
        <f t="shared" si="19"/>
        <v/>
      </c>
      <c r="J118" s="18"/>
      <c r="K118" s="5" t="str">
        <f t="shared" si="15"/>
        <v/>
      </c>
      <c r="L118" s="18"/>
      <c r="M118" s="5" t="str">
        <f t="shared" si="16"/>
        <v/>
      </c>
      <c r="N118" s="19"/>
      <c r="O118" s="5" t="str">
        <f t="shared" si="17"/>
        <v/>
      </c>
      <c r="P118" s="19"/>
      <c r="Q118" s="5" t="str">
        <f t="shared" si="18"/>
        <v/>
      </c>
      <c r="R118" s="6" t="str">
        <f t="shared" si="11"/>
        <v/>
      </c>
      <c r="S118" s="20" t="str">
        <f t="shared" si="12"/>
        <v/>
      </c>
      <c r="V118" s="1" t="str">
        <f t="shared" si="13"/>
        <v/>
      </c>
    </row>
    <row r="119" spans="1:22" x14ac:dyDescent="0.2">
      <c r="A119" s="1" t="str">
        <f>IF(C119="","",SUMIF('Číselník škol'!$B$2:$B$11,'CH jednotlivci'!D119,'Číselník škol'!$A$2:$A$11)&amp;"/"&amp;COUNTIF($D$20:D119,D119))</f>
        <v/>
      </c>
      <c r="C119" s="7"/>
      <c r="D119" s="8"/>
      <c r="E119" s="17"/>
      <c r="F119" s="5" t="str">
        <f t="shared" si="14"/>
        <v/>
      </c>
      <c r="G119" s="9"/>
      <c r="H119" s="48"/>
      <c r="I119" s="5" t="str">
        <f t="shared" si="19"/>
        <v/>
      </c>
      <c r="J119" s="18"/>
      <c r="K119" s="5" t="str">
        <f t="shared" si="15"/>
        <v/>
      </c>
      <c r="L119" s="18"/>
      <c r="M119" s="5" t="str">
        <f t="shared" si="16"/>
        <v/>
      </c>
      <c r="N119" s="19"/>
      <c r="O119" s="5" t="str">
        <f t="shared" si="17"/>
        <v/>
      </c>
      <c r="P119" s="19"/>
      <c r="Q119" s="5" t="str">
        <f t="shared" si="18"/>
        <v/>
      </c>
      <c r="R119" s="6" t="str">
        <f t="shared" si="11"/>
        <v/>
      </c>
      <c r="S119" s="20" t="str">
        <f t="shared" si="12"/>
        <v/>
      </c>
      <c r="V119" s="1" t="str">
        <f t="shared" si="13"/>
        <v/>
      </c>
    </row>
    <row r="120" spans="1:22" x14ac:dyDescent="0.2">
      <c r="A120" s="1" t="str">
        <f>IF(C120="","",SUMIF('Číselník škol'!$B$2:$B$11,'CH jednotlivci'!D120,'Číselník škol'!$A$2:$A$11)&amp;"/"&amp;COUNTIF($D$20:D120,D120))</f>
        <v/>
      </c>
      <c r="C120" s="7"/>
      <c r="D120" s="8"/>
      <c r="E120" s="17"/>
      <c r="F120" s="5" t="str">
        <f t="shared" si="14"/>
        <v/>
      </c>
      <c r="G120" s="9"/>
      <c r="H120" s="48"/>
      <c r="I120" s="5" t="str">
        <f t="shared" si="19"/>
        <v/>
      </c>
      <c r="J120" s="18"/>
      <c r="K120" s="5" t="str">
        <f t="shared" si="15"/>
        <v/>
      </c>
      <c r="L120" s="18"/>
      <c r="M120" s="5" t="str">
        <f t="shared" si="16"/>
        <v/>
      </c>
      <c r="N120" s="19"/>
      <c r="O120" s="5" t="str">
        <f t="shared" si="17"/>
        <v/>
      </c>
      <c r="P120" s="19"/>
      <c r="Q120" s="5" t="str">
        <f t="shared" si="18"/>
        <v/>
      </c>
      <c r="R120" s="6" t="str">
        <f t="shared" si="11"/>
        <v/>
      </c>
      <c r="S120" s="20" t="str">
        <f t="shared" si="12"/>
        <v/>
      </c>
      <c r="V120" s="1" t="str">
        <f t="shared" si="13"/>
        <v/>
      </c>
    </row>
    <row r="121" spans="1:22" x14ac:dyDescent="0.2">
      <c r="A121" s="1" t="str">
        <f>IF(C121="","",SUMIF('Číselník škol'!$B$2:$B$11,'CH jednotlivci'!D121,'Číselník škol'!$A$2:$A$11)&amp;"/"&amp;COUNTIF($D$20:D121,D121))</f>
        <v/>
      </c>
      <c r="C121" s="7"/>
      <c r="D121" s="8"/>
      <c r="E121" s="17"/>
      <c r="F121" s="5" t="str">
        <f t="shared" si="14"/>
        <v/>
      </c>
      <c r="G121" s="9"/>
      <c r="H121" s="48"/>
      <c r="I121" s="5" t="str">
        <f t="shared" si="19"/>
        <v/>
      </c>
      <c r="J121" s="18"/>
      <c r="K121" s="5" t="str">
        <f t="shared" si="15"/>
        <v/>
      </c>
      <c r="L121" s="18"/>
      <c r="M121" s="5" t="str">
        <f t="shared" si="16"/>
        <v/>
      </c>
      <c r="N121" s="19"/>
      <c r="O121" s="5" t="str">
        <f t="shared" si="17"/>
        <v/>
      </c>
      <c r="P121" s="19"/>
      <c r="Q121" s="5" t="str">
        <f t="shared" si="18"/>
        <v/>
      </c>
      <c r="R121" s="6" t="str">
        <f t="shared" si="11"/>
        <v/>
      </c>
      <c r="S121" s="20" t="str">
        <f t="shared" si="12"/>
        <v/>
      </c>
      <c r="V121" s="1" t="str">
        <f t="shared" si="13"/>
        <v/>
      </c>
    </row>
    <row r="122" spans="1:22" x14ac:dyDescent="0.2">
      <c r="A122" s="1" t="str">
        <f>IF(C122="","",SUMIF('Číselník škol'!$B$2:$B$11,'CH jednotlivci'!D122,'Číselník škol'!$A$2:$A$11)&amp;"/"&amp;COUNTIF($D$20:D122,D122))</f>
        <v/>
      </c>
      <c r="C122" s="7"/>
      <c r="D122" s="8"/>
      <c r="E122" s="17"/>
      <c r="F122" s="5" t="str">
        <f t="shared" si="14"/>
        <v/>
      </c>
      <c r="G122" s="9"/>
      <c r="H122" s="48"/>
      <c r="I122" s="5" t="str">
        <f t="shared" si="19"/>
        <v/>
      </c>
      <c r="J122" s="18"/>
      <c r="K122" s="5" t="str">
        <f t="shared" si="15"/>
        <v/>
      </c>
      <c r="L122" s="18"/>
      <c r="M122" s="5" t="str">
        <f t="shared" si="16"/>
        <v/>
      </c>
      <c r="N122" s="19"/>
      <c r="O122" s="5" t="str">
        <f t="shared" si="17"/>
        <v/>
      </c>
      <c r="P122" s="19"/>
      <c r="Q122" s="5" t="str">
        <f t="shared" si="18"/>
        <v/>
      </c>
      <c r="R122" s="6" t="str">
        <f t="shared" si="11"/>
        <v/>
      </c>
      <c r="S122" s="20" t="str">
        <f t="shared" si="12"/>
        <v/>
      </c>
      <c r="V122" s="1" t="str">
        <f t="shared" si="13"/>
        <v/>
      </c>
    </row>
    <row r="123" spans="1:22" x14ac:dyDescent="0.2">
      <c r="A123" s="1" t="str">
        <f>IF(C123="","",SUMIF('Číselník škol'!$B$2:$B$11,'CH jednotlivci'!D123,'Číselník škol'!$A$2:$A$11)&amp;"/"&amp;COUNTIF($D$20:D123,D123))</f>
        <v/>
      </c>
      <c r="C123" s="7"/>
      <c r="D123" s="8"/>
      <c r="E123" s="17"/>
      <c r="F123" s="5" t="str">
        <f t="shared" si="14"/>
        <v/>
      </c>
      <c r="G123" s="9"/>
      <c r="H123" s="48"/>
      <c r="I123" s="5" t="str">
        <f t="shared" si="19"/>
        <v/>
      </c>
      <c r="J123" s="18"/>
      <c r="K123" s="5" t="str">
        <f t="shared" si="15"/>
        <v/>
      </c>
      <c r="L123" s="18"/>
      <c r="M123" s="5" t="str">
        <f t="shared" si="16"/>
        <v/>
      </c>
      <c r="N123" s="19"/>
      <c r="O123" s="5" t="str">
        <f t="shared" si="17"/>
        <v/>
      </c>
      <c r="P123" s="19"/>
      <c r="Q123" s="5" t="str">
        <f t="shared" si="18"/>
        <v/>
      </c>
      <c r="R123" s="6" t="str">
        <f t="shared" si="11"/>
        <v/>
      </c>
      <c r="S123" s="20" t="str">
        <f t="shared" si="12"/>
        <v/>
      </c>
      <c r="V123" s="1" t="str">
        <f t="shared" si="13"/>
        <v/>
      </c>
    </row>
    <row r="124" spans="1:22" x14ac:dyDescent="0.2">
      <c r="A124" s="1" t="str">
        <f>IF(C124="","",SUMIF('Číselník škol'!$B$2:$B$11,'CH jednotlivci'!D124,'Číselník škol'!$A$2:$A$11)&amp;"/"&amp;COUNTIF($D$20:D124,D124))</f>
        <v/>
      </c>
      <c r="C124" s="7"/>
      <c r="D124" s="8"/>
      <c r="E124" s="17"/>
      <c r="F124" s="5" t="str">
        <f t="shared" si="14"/>
        <v/>
      </c>
      <c r="G124" s="9"/>
      <c r="H124" s="48"/>
      <c r="I124" s="5" t="str">
        <f t="shared" si="19"/>
        <v/>
      </c>
      <c r="J124" s="18"/>
      <c r="K124" s="5" t="str">
        <f t="shared" si="15"/>
        <v/>
      </c>
      <c r="L124" s="18"/>
      <c r="M124" s="5" t="str">
        <f t="shared" si="16"/>
        <v/>
      </c>
      <c r="N124" s="19"/>
      <c r="O124" s="5" t="str">
        <f t="shared" si="17"/>
        <v/>
      </c>
      <c r="P124" s="19"/>
      <c r="Q124" s="5" t="str">
        <f t="shared" si="18"/>
        <v/>
      </c>
      <c r="R124" s="6" t="str">
        <f t="shared" si="11"/>
        <v/>
      </c>
      <c r="S124" s="20" t="str">
        <f t="shared" si="12"/>
        <v/>
      </c>
      <c r="V124" s="1" t="str">
        <f t="shared" si="13"/>
        <v/>
      </c>
    </row>
    <row r="125" spans="1:22" x14ac:dyDescent="0.2">
      <c r="A125" s="1" t="str">
        <f>IF(C125="","",SUMIF('Číselník škol'!$B$2:$B$11,'CH jednotlivci'!D125,'Číselník škol'!$A$2:$A$11)&amp;"/"&amp;COUNTIF($D$20:D125,D125))</f>
        <v/>
      </c>
      <c r="C125" s="7"/>
      <c r="D125" s="8"/>
      <c r="E125" s="17"/>
      <c r="F125" s="5" t="str">
        <f t="shared" si="14"/>
        <v/>
      </c>
      <c r="G125" s="9"/>
      <c r="H125" s="48"/>
      <c r="I125" s="5" t="str">
        <f t="shared" si="19"/>
        <v/>
      </c>
      <c r="J125" s="18"/>
      <c r="K125" s="5" t="str">
        <f t="shared" si="15"/>
        <v/>
      </c>
      <c r="L125" s="18"/>
      <c r="M125" s="5" t="str">
        <f t="shared" si="16"/>
        <v/>
      </c>
      <c r="N125" s="19"/>
      <c r="O125" s="5" t="str">
        <f t="shared" si="17"/>
        <v/>
      </c>
      <c r="P125" s="19"/>
      <c r="Q125" s="5" t="str">
        <f t="shared" si="18"/>
        <v/>
      </c>
      <c r="R125" s="6" t="str">
        <f t="shared" si="11"/>
        <v/>
      </c>
      <c r="S125" s="20" t="str">
        <f t="shared" si="12"/>
        <v/>
      </c>
      <c r="V125" s="1" t="str">
        <f t="shared" si="13"/>
        <v/>
      </c>
    </row>
    <row r="126" spans="1:22" x14ac:dyDescent="0.2">
      <c r="A126" s="1" t="str">
        <f>IF(C126="","",SUMIF('Číselník škol'!$B$2:$B$11,'CH jednotlivci'!D126,'Číselník škol'!$A$2:$A$11)&amp;"/"&amp;COUNTIF($D$20:D126,D126))</f>
        <v/>
      </c>
      <c r="C126" s="7"/>
      <c r="D126" s="8"/>
      <c r="E126" s="17"/>
      <c r="F126" s="5" t="str">
        <f t="shared" si="14"/>
        <v/>
      </c>
      <c r="G126" s="9"/>
      <c r="H126" s="48"/>
      <c r="I126" s="5" t="str">
        <f t="shared" si="19"/>
        <v/>
      </c>
      <c r="J126" s="18"/>
      <c r="K126" s="5" t="str">
        <f t="shared" si="15"/>
        <v/>
      </c>
      <c r="L126" s="18"/>
      <c r="M126" s="5" t="str">
        <f t="shared" si="16"/>
        <v/>
      </c>
      <c r="N126" s="19"/>
      <c r="O126" s="5" t="str">
        <f t="shared" si="17"/>
        <v/>
      </c>
      <c r="P126" s="19"/>
      <c r="Q126" s="5" t="str">
        <f t="shared" si="18"/>
        <v/>
      </c>
      <c r="R126" s="6" t="str">
        <f t="shared" si="11"/>
        <v/>
      </c>
      <c r="S126" s="20" t="str">
        <f t="shared" si="12"/>
        <v/>
      </c>
      <c r="V126" s="1" t="str">
        <f t="shared" si="13"/>
        <v/>
      </c>
    </row>
    <row r="127" spans="1:22" x14ac:dyDescent="0.2">
      <c r="A127" s="1" t="str">
        <f>IF(C127="","",SUMIF('Číselník škol'!$B$2:$B$11,'CH jednotlivci'!D127,'Číselník škol'!$A$2:$A$11)&amp;"/"&amp;COUNTIF($D$20:D127,D127))</f>
        <v/>
      </c>
      <c r="C127" s="7"/>
      <c r="D127" s="8"/>
      <c r="E127" s="17"/>
      <c r="F127" s="5" t="str">
        <f t="shared" si="14"/>
        <v/>
      </c>
      <c r="G127" s="9"/>
      <c r="H127" s="48"/>
      <c r="I127" s="5" t="str">
        <f t="shared" si="19"/>
        <v/>
      </c>
      <c r="J127" s="18"/>
      <c r="K127" s="5" t="str">
        <f t="shared" si="15"/>
        <v/>
      </c>
      <c r="L127" s="18"/>
      <c r="M127" s="5" t="str">
        <f t="shared" si="16"/>
        <v/>
      </c>
      <c r="N127" s="19"/>
      <c r="O127" s="5" t="str">
        <f t="shared" si="17"/>
        <v/>
      </c>
      <c r="P127" s="19"/>
      <c r="Q127" s="5" t="str">
        <f t="shared" si="18"/>
        <v/>
      </c>
      <c r="R127" s="6" t="str">
        <f t="shared" si="11"/>
        <v/>
      </c>
      <c r="S127" s="20" t="str">
        <f t="shared" si="12"/>
        <v/>
      </c>
      <c r="V127" s="1" t="str">
        <f t="shared" si="13"/>
        <v/>
      </c>
    </row>
    <row r="128" spans="1:22" x14ac:dyDescent="0.2">
      <c r="A128" s="1" t="str">
        <f>IF(C128="","",SUMIF('Číselník škol'!$B$2:$B$11,'CH jednotlivci'!D128,'Číselník škol'!$A$2:$A$11)&amp;"/"&amp;COUNTIF($D$20:D128,D128))</f>
        <v/>
      </c>
      <c r="C128" s="7"/>
      <c r="D128" s="8"/>
      <c r="E128" s="17"/>
      <c r="F128" s="5" t="str">
        <f t="shared" si="14"/>
        <v/>
      </c>
      <c r="G128" s="9"/>
      <c r="H128" s="48"/>
      <c r="I128" s="5" t="str">
        <f t="shared" si="19"/>
        <v/>
      </c>
      <c r="J128" s="18"/>
      <c r="K128" s="5" t="str">
        <f t="shared" si="15"/>
        <v/>
      </c>
      <c r="L128" s="18"/>
      <c r="M128" s="5" t="str">
        <f t="shared" si="16"/>
        <v/>
      </c>
      <c r="N128" s="19"/>
      <c r="O128" s="5" t="str">
        <f t="shared" si="17"/>
        <v/>
      </c>
      <c r="P128" s="19"/>
      <c r="Q128" s="5" t="str">
        <f t="shared" si="18"/>
        <v/>
      </c>
      <c r="R128" s="6" t="str">
        <f t="shared" si="11"/>
        <v/>
      </c>
      <c r="S128" s="20" t="str">
        <f t="shared" si="12"/>
        <v/>
      </c>
      <c r="V128" s="1" t="str">
        <f t="shared" si="13"/>
        <v/>
      </c>
    </row>
    <row r="129" spans="1:22" x14ac:dyDescent="0.2">
      <c r="A129" s="1" t="str">
        <f>IF(C129="","",SUMIF('Číselník škol'!$B$2:$B$11,'CH jednotlivci'!D129,'Číselník škol'!$A$2:$A$11)&amp;"/"&amp;COUNTIF($D$20:D129,D129))</f>
        <v/>
      </c>
      <c r="C129" s="7"/>
      <c r="D129" s="8"/>
      <c r="E129" s="17"/>
      <c r="F129" s="5" t="str">
        <f t="shared" si="14"/>
        <v/>
      </c>
      <c r="G129" s="9"/>
      <c r="H129" s="48"/>
      <c r="I129" s="5" t="str">
        <f t="shared" si="19"/>
        <v/>
      </c>
      <c r="J129" s="18"/>
      <c r="K129" s="5" t="str">
        <f t="shared" si="15"/>
        <v/>
      </c>
      <c r="L129" s="18"/>
      <c r="M129" s="5" t="str">
        <f t="shared" si="16"/>
        <v/>
      </c>
      <c r="N129" s="19"/>
      <c r="O129" s="5" t="str">
        <f t="shared" si="17"/>
        <v/>
      </c>
      <c r="P129" s="19"/>
      <c r="Q129" s="5" t="str">
        <f t="shared" si="18"/>
        <v/>
      </c>
      <c r="R129" s="6" t="str">
        <f t="shared" si="11"/>
        <v/>
      </c>
      <c r="S129" s="20" t="str">
        <f t="shared" si="12"/>
        <v/>
      </c>
      <c r="V129" s="1" t="str">
        <f t="shared" si="13"/>
        <v/>
      </c>
    </row>
    <row r="130" spans="1:22" x14ac:dyDescent="0.2">
      <c r="A130" s="1" t="str">
        <f>IF(C130="","",SUMIF('Číselník škol'!$B$2:$B$11,'CH jednotlivci'!D130,'Číselník škol'!$A$2:$A$11)&amp;"/"&amp;COUNTIF($D$20:D130,D130))</f>
        <v/>
      </c>
      <c r="C130" s="7"/>
      <c r="D130" s="8"/>
      <c r="E130" s="17"/>
      <c r="F130" s="5" t="str">
        <f t="shared" si="14"/>
        <v/>
      </c>
      <c r="G130" s="9"/>
      <c r="H130" s="48"/>
      <c r="I130" s="5" t="str">
        <f t="shared" si="19"/>
        <v/>
      </c>
      <c r="J130" s="18"/>
      <c r="K130" s="5" t="str">
        <f t="shared" si="15"/>
        <v/>
      </c>
      <c r="L130" s="18"/>
      <c r="M130" s="5" t="str">
        <f t="shared" si="16"/>
        <v/>
      </c>
      <c r="N130" s="19"/>
      <c r="O130" s="5" t="str">
        <f t="shared" si="17"/>
        <v/>
      </c>
      <c r="P130" s="19"/>
      <c r="Q130" s="5" t="str">
        <f t="shared" si="18"/>
        <v/>
      </c>
      <c r="R130" s="6" t="str">
        <f t="shared" si="11"/>
        <v/>
      </c>
      <c r="S130" s="20" t="str">
        <f t="shared" si="12"/>
        <v/>
      </c>
      <c r="V130" s="1" t="str">
        <f t="shared" si="13"/>
        <v/>
      </c>
    </row>
    <row r="131" spans="1:22" x14ac:dyDescent="0.2">
      <c r="A131" s="1" t="str">
        <f>IF(C131="","",SUMIF('Číselník škol'!$B$2:$B$11,'CH jednotlivci'!D131,'Číselník škol'!$A$2:$A$11)&amp;"/"&amp;COUNTIF($D$20:D131,D131))</f>
        <v/>
      </c>
      <c r="C131" s="7"/>
      <c r="D131" s="8"/>
      <c r="E131" s="17"/>
      <c r="F131" s="5" t="str">
        <f t="shared" si="14"/>
        <v/>
      </c>
      <c r="G131" s="9"/>
      <c r="H131" s="48"/>
      <c r="I131" s="5" t="str">
        <f t="shared" si="19"/>
        <v/>
      </c>
      <c r="J131" s="18"/>
      <c r="K131" s="5" t="str">
        <f t="shared" si="15"/>
        <v/>
      </c>
      <c r="L131" s="18"/>
      <c r="M131" s="5" t="str">
        <f t="shared" si="16"/>
        <v/>
      </c>
      <c r="N131" s="19"/>
      <c r="O131" s="5" t="str">
        <f t="shared" si="17"/>
        <v/>
      </c>
      <c r="P131" s="19"/>
      <c r="Q131" s="5" t="str">
        <f t="shared" si="18"/>
        <v/>
      </c>
      <c r="R131" s="6" t="str">
        <f t="shared" si="11"/>
        <v/>
      </c>
      <c r="S131" s="20" t="str">
        <f t="shared" si="12"/>
        <v/>
      </c>
      <c r="V131" s="1" t="str">
        <f t="shared" si="13"/>
        <v/>
      </c>
    </row>
    <row r="132" spans="1:22" x14ac:dyDescent="0.2">
      <c r="A132" s="1" t="str">
        <f>IF(C132="","",SUMIF('Číselník škol'!$B$2:$B$11,'CH jednotlivci'!D132,'Číselník škol'!$A$2:$A$11)&amp;"/"&amp;COUNTIF($D$20:D132,D132))</f>
        <v/>
      </c>
      <c r="C132" s="7"/>
      <c r="D132" s="8"/>
      <c r="E132" s="17"/>
      <c r="F132" s="5" t="str">
        <f t="shared" si="14"/>
        <v/>
      </c>
      <c r="G132" s="9"/>
      <c r="H132" s="48"/>
      <c r="I132" s="5" t="str">
        <f t="shared" si="19"/>
        <v/>
      </c>
      <c r="J132" s="18"/>
      <c r="K132" s="5" t="str">
        <f t="shared" si="15"/>
        <v/>
      </c>
      <c r="L132" s="18"/>
      <c r="M132" s="5" t="str">
        <f t="shared" si="16"/>
        <v/>
      </c>
      <c r="N132" s="19"/>
      <c r="O132" s="5" t="str">
        <f t="shared" si="17"/>
        <v/>
      </c>
      <c r="P132" s="19"/>
      <c r="Q132" s="5" t="str">
        <f t="shared" si="18"/>
        <v/>
      </c>
      <c r="R132" s="6" t="str">
        <f t="shared" si="11"/>
        <v/>
      </c>
      <c r="S132" s="20" t="str">
        <f t="shared" si="12"/>
        <v/>
      </c>
      <c r="V132" s="1" t="str">
        <f t="shared" si="13"/>
        <v/>
      </c>
    </row>
    <row r="133" spans="1:22" x14ac:dyDescent="0.2">
      <c r="A133" s="1" t="str">
        <f>IF(C133="","",SUMIF('Číselník škol'!$B$2:$B$11,'CH jednotlivci'!D133,'Číselník škol'!$A$2:$A$11)&amp;"/"&amp;COUNTIF($D$20:D133,D133))</f>
        <v/>
      </c>
      <c r="C133" s="7"/>
      <c r="D133" s="8"/>
      <c r="E133" s="17"/>
      <c r="F133" s="5" t="str">
        <f t="shared" si="14"/>
        <v/>
      </c>
      <c r="G133" s="9"/>
      <c r="H133" s="48"/>
      <c r="I133" s="5" t="str">
        <f t="shared" si="19"/>
        <v/>
      </c>
      <c r="J133" s="18"/>
      <c r="K133" s="5" t="str">
        <f t="shared" si="15"/>
        <v/>
      </c>
      <c r="L133" s="18"/>
      <c r="M133" s="5" t="str">
        <f t="shared" si="16"/>
        <v/>
      </c>
      <c r="N133" s="19"/>
      <c r="O133" s="5" t="str">
        <f t="shared" si="17"/>
        <v/>
      </c>
      <c r="P133" s="19"/>
      <c r="Q133" s="5" t="str">
        <f t="shared" si="18"/>
        <v/>
      </c>
      <c r="R133" s="6" t="str">
        <f t="shared" si="11"/>
        <v/>
      </c>
      <c r="S133" s="20" t="str">
        <f t="shared" si="12"/>
        <v/>
      </c>
      <c r="V133" s="1" t="str">
        <f t="shared" si="13"/>
        <v/>
      </c>
    </row>
    <row r="134" spans="1:22" x14ac:dyDescent="0.2">
      <c r="A134" s="1" t="str">
        <f>IF(C134="","",SUMIF('Číselník škol'!$B$2:$B$11,'CH jednotlivci'!D134,'Číselník škol'!$A$2:$A$11)&amp;"/"&amp;COUNTIF($D$20:D134,D134))</f>
        <v/>
      </c>
      <c r="C134" s="7"/>
      <c r="D134" s="8"/>
      <c r="E134" s="17"/>
      <c r="F134" s="5" t="str">
        <f t="shared" si="14"/>
        <v/>
      </c>
      <c r="G134" s="9"/>
      <c r="H134" s="48"/>
      <c r="I134" s="5" t="str">
        <f t="shared" si="19"/>
        <v/>
      </c>
      <c r="J134" s="18"/>
      <c r="K134" s="5" t="str">
        <f t="shared" si="15"/>
        <v/>
      </c>
      <c r="L134" s="18"/>
      <c r="M134" s="5" t="str">
        <f t="shared" si="16"/>
        <v/>
      </c>
      <c r="N134" s="19"/>
      <c r="O134" s="5" t="str">
        <f t="shared" si="17"/>
        <v/>
      </c>
      <c r="P134" s="19"/>
      <c r="Q134" s="5" t="str">
        <f t="shared" si="18"/>
        <v/>
      </c>
      <c r="R134" s="6" t="str">
        <f t="shared" si="11"/>
        <v/>
      </c>
      <c r="S134" s="20" t="str">
        <f t="shared" si="12"/>
        <v/>
      </c>
      <c r="V134" s="1" t="str">
        <f t="shared" si="13"/>
        <v/>
      </c>
    </row>
    <row r="135" spans="1:22" x14ac:dyDescent="0.2">
      <c r="A135" s="1" t="str">
        <f>IF(C135="","",SUMIF('Číselník škol'!$B$2:$B$11,'CH jednotlivci'!D135,'Číselník škol'!$A$2:$A$11)&amp;"/"&amp;COUNTIF($D$20:D135,D135))</f>
        <v/>
      </c>
      <c r="C135" s="7"/>
      <c r="D135" s="8"/>
      <c r="E135" s="17"/>
      <c r="F135" s="5" t="str">
        <f t="shared" si="14"/>
        <v/>
      </c>
      <c r="G135" s="9"/>
      <c r="H135" s="48"/>
      <c r="I135" s="5" t="str">
        <f t="shared" si="19"/>
        <v/>
      </c>
      <c r="J135" s="18"/>
      <c r="K135" s="5" t="str">
        <f t="shared" si="15"/>
        <v/>
      </c>
      <c r="L135" s="18"/>
      <c r="M135" s="5" t="str">
        <f t="shared" si="16"/>
        <v/>
      </c>
      <c r="N135" s="19"/>
      <c r="O135" s="5" t="str">
        <f t="shared" si="17"/>
        <v/>
      </c>
      <c r="P135" s="19"/>
      <c r="Q135" s="5" t="str">
        <f t="shared" si="18"/>
        <v/>
      </c>
      <c r="R135" s="6" t="str">
        <f t="shared" si="11"/>
        <v/>
      </c>
      <c r="S135" s="20" t="str">
        <f t="shared" si="12"/>
        <v/>
      </c>
      <c r="V135" s="1" t="str">
        <f t="shared" si="13"/>
        <v/>
      </c>
    </row>
    <row r="136" spans="1:22" x14ac:dyDescent="0.2">
      <c r="A136" s="1" t="str">
        <f>IF(C136="","",SUMIF('Číselník škol'!$B$2:$B$11,'CH jednotlivci'!D136,'Číselník škol'!$A$2:$A$11)&amp;"/"&amp;COUNTIF($D$20:D136,D136))</f>
        <v/>
      </c>
      <c r="C136" s="7"/>
      <c r="D136" s="8"/>
      <c r="E136" s="17"/>
      <c r="F136" s="5" t="str">
        <f t="shared" si="14"/>
        <v/>
      </c>
      <c r="G136" s="9"/>
      <c r="H136" s="48"/>
      <c r="I136" s="5" t="str">
        <f t="shared" si="19"/>
        <v/>
      </c>
      <c r="J136" s="18"/>
      <c r="K136" s="5" t="str">
        <f t="shared" si="15"/>
        <v/>
      </c>
      <c r="L136" s="18"/>
      <c r="M136" s="5" t="str">
        <f t="shared" si="16"/>
        <v/>
      </c>
      <c r="N136" s="19"/>
      <c r="O136" s="5" t="str">
        <f t="shared" si="17"/>
        <v/>
      </c>
      <c r="P136" s="19"/>
      <c r="Q136" s="5" t="str">
        <f t="shared" si="18"/>
        <v/>
      </c>
      <c r="R136" s="6" t="str">
        <f t="shared" si="11"/>
        <v/>
      </c>
      <c r="S136" s="20" t="str">
        <f t="shared" si="12"/>
        <v/>
      </c>
      <c r="V136" s="1" t="str">
        <f t="shared" si="13"/>
        <v/>
      </c>
    </row>
  </sheetData>
  <sheetProtection algorithmName="SHA-512" hashValue="iCFHt6EOmSiQqiQ5jfnMR6ba8mIE0kOy2f3jg7gRBgM0mZbqEI/kKr28434JTSRQr87iRRbIXe0P1D1uEcBntw==" saltValue="a2KdynA7MfoHlTKVgU4++Q==" spinCount="100000" sheet="1" objects="1" scenarios="1" autoFilter="0"/>
  <autoFilter ref="C19:S136">
    <filterColumn colId="2" showButton="0"/>
    <filterColumn colId="4" showButton="0"/>
    <filterColumn colId="5" showButton="0"/>
    <filterColumn colId="7" showButton="0"/>
    <filterColumn colId="9" showButton="0"/>
    <filterColumn colId="11" showButton="0"/>
    <filterColumn colId="13" showButton="0"/>
  </autoFilter>
  <mergeCells count="95">
    <mergeCell ref="Q8:R8"/>
    <mergeCell ref="L19:M19"/>
    <mergeCell ref="J19:K19"/>
    <mergeCell ref="E19:F19"/>
    <mergeCell ref="P19:Q19"/>
    <mergeCell ref="N19:O19"/>
    <mergeCell ref="G19:I19"/>
    <mergeCell ref="O12:P12"/>
    <mergeCell ref="O16:P16"/>
    <mergeCell ref="K10:L10"/>
    <mergeCell ref="K11:L11"/>
    <mergeCell ref="K12:L12"/>
    <mergeCell ref="K16:L16"/>
    <mergeCell ref="M11:N11"/>
    <mergeCell ref="Q12:R12"/>
    <mergeCell ref="Q16:R16"/>
    <mergeCell ref="I6:J6"/>
    <mergeCell ref="I7:J7"/>
    <mergeCell ref="I8:J8"/>
    <mergeCell ref="I9:J9"/>
    <mergeCell ref="C2:S2"/>
    <mergeCell ref="E7:F7"/>
    <mergeCell ref="E8:F8"/>
    <mergeCell ref="K6:L6"/>
    <mergeCell ref="K7:L7"/>
    <mergeCell ref="K8:L8"/>
    <mergeCell ref="E6:F6"/>
    <mergeCell ref="G6:H6"/>
    <mergeCell ref="G7:H7"/>
    <mergeCell ref="G8:H8"/>
    <mergeCell ref="Q6:R6"/>
    <mergeCell ref="Q7:R7"/>
    <mergeCell ref="M6:N6"/>
    <mergeCell ref="M7:N7"/>
    <mergeCell ref="M8:N8"/>
    <mergeCell ref="M9:N9"/>
    <mergeCell ref="M10:N10"/>
    <mergeCell ref="C6:D6"/>
    <mergeCell ref="C7:D7"/>
    <mergeCell ref="C8:D8"/>
    <mergeCell ref="C9:D9"/>
    <mergeCell ref="C10:D10"/>
    <mergeCell ref="C11:D11"/>
    <mergeCell ref="C12:D12"/>
    <mergeCell ref="M12:N12"/>
    <mergeCell ref="M16:N16"/>
    <mergeCell ref="O6:P6"/>
    <mergeCell ref="O7:P7"/>
    <mergeCell ref="O8:P8"/>
    <mergeCell ref="O9:P9"/>
    <mergeCell ref="O10:P10"/>
    <mergeCell ref="C16:D16"/>
    <mergeCell ref="G16:H16"/>
    <mergeCell ref="I12:J12"/>
    <mergeCell ref="I16:J16"/>
    <mergeCell ref="E12:F12"/>
    <mergeCell ref="E16:F16"/>
    <mergeCell ref="G12:H12"/>
    <mergeCell ref="Q9:R9"/>
    <mergeCell ref="Q10:R10"/>
    <mergeCell ref="E11:F11"/>
    <mergeCell ref="K9:L9"/>
    <mergeCell ref="E9:F9"/>
    <mergeCell ref="E10:F10"/>
    <mergeCell ref="G10:H10"/>
    <mergeCell ref="Q11:R11"/>
    <mergeCell ref="O11:P11"/>
    <mergeCell ref="I10:J10"/>
    <mergeCell ref="G9:H9"/>
    <mergeCell ref="I11:J11"/>
    <mergeCell ref="G11:H11"/>
    <mergeCell ref="Q13:R13"/>
    <mergeCell ref="Q14:R14"/>
    <mergeCell ref="Q15:R15"/>
    <mergeCell ref="C13:D13"/>
    <mergeCell ref="C14:D14"/>
    <mergeCell ref="C15:D15"/>
    <mergeCell ref="E13:F13"/>
    <mergeCell ref="G13:H13"/>
    <mergeCell ref="I13:J13"/>
    <mergeCell ref="K13:L13"/>
    <mergeCell ref="M13:N13"/>
    <mergeCell ref="O13:P13"/>
    <mergeCell ref="E14:F14"/>
    <mergeCell ref="G14:H14"/>
    <mergeCell ref="I14:J14"/>
    <mergeCell ref="K14:L14"/>
    <mergeCell ref="M14:N14"/>
    <mergeCell ref="O14:P14"/>
    <mergeCell ref="E15:F15"/>
    <mergeCell ref="G15:H15"/>
    <mergeCell ref="I15:J15"/>
    <mergeCell ref="K15:L15"/>
    <mergeCell ref="M15:N15"/>
    <mergeCell ref="O15:P15"/>
  </mergeCells>
  <conditionalFormatting sqref="C38:S136 D20:S37">
    <cfRule type="expression" dxfId="22" priority="20">
      <formula>$S20="3."</formula>
    </cfRule>
    <cfRule type="expression" dxfId="21" priority="21">
      <formula>$S20="2."</formula>
    </cfRule>
    <cfRule type="expression" dxfId="20" priority="22">
      <formula>$S20="1."</formula>
    </cfRule>
  </conditionalFormatting>
  <conditionalFormatting sqref="E7:N7">
    <cfRule type="cellIs" dxfId="19" priority="16" operator="equal">
      <formula>MIN($E$7:$N$7)</formula>
    </cfRule>
  </conditionalFormatting>
  <conditionalFormatting sqref="C20:C24">
    <cfRule type="expression" dxfId="18" priority="10">
      <formula>$S20="3."</formula>
    </cfRule>
    <cfRule type="expression" dxfId="17" priority="11">
      <formula>$S20="2."</formula>
    </cfRule>
    <cfRule type="expression" dxfId="16" priority="12">
      <formula>$S20="1."</formula>
    </cfRule>
  </conditionalFormatting>
  <conditionalFormatting sqref="C25:C28">
    <cfRule type="expression" dxfId="15" priority="7">
      <formula>$S25="3."</formula>
    </cfRule>
    <cfRule type="expression" dxfId="14" priority="8">
      <formula>$S25="2."</formula>
    </cfRule>
    <cfRule type="expression" dxfId="13" priority="9">
      <formula>$S25="1."</formula>
    </cfRule>
  </conditionalFormatting>
  <conditionalFormatting sqref="C29:C33">
    <cfRule type="expression" dxfId="12" priority="4">
      <formula>$S29="3."</formula>
    </cfRule>
    <cfRule type="expression" dxfId="11" priority="5">
      <formula>$S29="2."</formula>
    </cfRule>
    <cfRule type="expression" dxfId="10" priority="6">
      <formula>$S29="1."</formula>
    </cfRule>
  </conditionalFormatting>
  <conditionalFormatting sqref="C34:C37">
    <cfRule type="expression" dxfId="9" priority="1">
      <formula>$S34="3."</formula>
    </cfRule>
    <cfRule type="expression" dxfId="8" priority="2">
      <formula>$S34="2."</formula>
    </cfRule>
    <cfRule type="expression" dxfId="7" priority="3">
      <formula>$S34="1."</formula>
    </cfRule>
  </conditionalFormatting>
  <printOptions horizontalCentered="1"/>
  <pageMargins left="0.11811023622047245" right="0.11811023622047245" top="0.19685039370078741" bottom="0" header="0.31496062992125984" footer="0"/>
  <pageSetup paperSize="9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škol'!$B$2:$B$11</xm:f>
          </x14:formula1>
          <xm:sqref>D20:D136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6"/>
  <sheetViews>
    <sheetView topLeftCell="B28" zoomScale="90" zoomScaleNormal="90" workbookViewId="0">
      <selection activeCell="G72" sqref="G72"/>
    </sheetView>
  </sheetViews>
  <sheetFormatPr defaultRowHeight="14.25" x14ac:dyDescent="0.2"/>
  <cols>
    <col min="1" max="1" width="4.25" style="24" hidden="1" customWidth="1"/>
    <col min="2" max="2" width="3.125" style="24" customWidth="1"/>
    <col min="3" max="3" width="30.25" style="24" customWidth="1"/>
    <col min="4" max="4" width="48.625" style="24" customWidth="1"/>
    <col min="5" max="5" width="7.5" style="25" customWidth="1"/>
    <col min="6" max="6" width="4.375" style="26" customWidth="1"/>
    <col min="7" max="7" width="6.75" style="27" customWidth="1"/>
    <col min="8" max="8" width="5.75" style="25" customWidth="1"/>
    <col min="9" max="9" width="5.125" style="26" customWidth="1"/>
    <col min="10" max="10" width="10.5" style="25" customWidth="1"/>
    <col min="11" max="11" width="4.375" style="26" customWidth="1"/>
    <col min="12" max="12" width="10.5" style="25" customWidth="1"/>
    <col min="13" max="13" width="4.375" style="26" customWidth="1"/>
    <col min="14" max="14" width="10.5" style="25" customWidth="1"/>
    <col min="15" max="15" width="4.375" style="26" customWidth="1"/>
    <col min="16" max="16" width="12.625" style="25" customWidth="1"/>
    <col min="17" max="17" width="4.375" style="26" customWidth="1"/>
    <col min="18" max="18" width="11.375" style="24" customWidth="1"/>
    <col min="19" max="19" width="6" style="24" customWidth="1"/>
    <col min="20" max="20" width="3.375" style="24" customWidth="1"/>
    <col min="21" max="21" width="0" style="24" hidden="1" customWidth="1"/>
    <col min="22" max="16384" width="9" style="24"/>
  </cols>
  <sheetData>
    <row r="2" spans="3:21" ht="84.75" customHeight="1" x14ac:dyDescent="0.55000000000000004">
      <c r="C2" s="87" t="str">
        <f>'CH jednotlivci'!C2:S2</f>
        <v>ATLETICKÝ ČTYŘBOJ 2019
- krajské kolo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5" spans="3:21" ht="29.25" x14ac:dyDescent="0.4">
      <c r="C5" s="28" t="s">
        <v>13</v>
      </c>
    </row>
    <row r="6" spans="3:21" x14ac:dyDescent="0.2">
      <c r="C6" s="89" t="s">
        <v>18</v>
      </c>
      <c r="D6" s="89"/>
      <c r="E6" s="90" t="s">
        <v>8</v>
      </c>
      <c r="F6" s="90"/>
      <c r="G6" s="90" t="s">
        <v>9</v>
      </c>
      <c r="H6" s="90"/>
      <c r="I6" s="90" t="s">
        <v>10</v>
      </c>
      <c r="J6" s="90"/>
      <c r="K6" s="90" t="s">
        <v>11</v>
      </c>
      <c r="L6" s="90"/>
      <c r="M6" s="90" t="s">
        <v>12</v>
      </c>
      <c r="N6" s="90"/>
      <c r="O6" s="91" t="s">
        <v>19</v>
      </c>
      <c r="P6" s="91"/>
      <c r="Q6" s="90" t="s">
        <v>20</v>
      </c>
      <c r="R6" s="90"/>
      <c r="S6" s="29"/>
    </row>
    <row r="7" spans="3:21" s="30" customFormat="1" ht="42" customHeight="1" x14ac:dyDescent="0.2">
      <c r="C7" s="86" t="str">
        <f ca="1">IF(OR(SUM($R$20:$R$17114)=0,Q7="",SUMIF('Číselník škol'!$I$14:$I$23,VALUE(LEFT(Q7,1)),'Číselník škol'!$A$14:$A$23)=0),"",LOOKUP(SUMIF('Číselník škol'!$I$14:$I$23,VALUE(LEFT(Q7,1)),'Číselník škol'!$A$14:$A$23),'Číselník škol'!$A$14:$A$23,'Číselník škol'!$B$14:$B$23))</f>
        <v>ZŠ Trutnov, Komenského</v>
      </c>
      <c r="D7" s="86"/>
      <c r="E7" s="75">
        <f ca="1">IF(OR($C7="",SUM($R$20:$R$17114)=0),"",SUMIF('Číselník škol'!$B$14:$B$23,$C7,'Číselník škol'!C$14:C$23))</f>
        <v>1963</v>
      </c>
      <c r="F7" s="75"/>
      <c r="G7" s="75">
        <f ca="1">IF(OR($C7="",SUM($R$20:$R$17114)=0),"",SUMIF('Číselník škol'!$B$14:$B$23,$C7,'Číselník škol'!D$14:D$23))</f>
        <v>1639</v>
      </c>
      <c r="H7" s="75"/>
      <c r="I7" s="75">
        <f ca="1">IF(OR($C7="",SUM($R$20:$R$17114)=0),"",SUMIF('Číselník škol'!$B$14:$B$23,$C7,'Číselník škol'!E$14:E$23))</f>
        <v>1578</v>
      </c>
      <c r="J7" s="75"/>
      <c r="K7" s="75">
        <f ca="1">IF(OR($C7="",SUM($R$20:$R$17114)=0),"",SUMIF('Číselník škol'!$B$14:$B$23,$C7,'Číselník škol'!F$14:F$23))</f>
        <v>1885</v>
      </c>
      <c r="L7" s="75"/>
      <c r="M7" s="75">
        <f ca="1">IF(OR($C7="",SUM($R$20:$R$17114)=0),"",SUMIF('Číselník škol'!$B$14:$B$23,$C7,'Číselník škol'!G$14:G$23))</f>
        <v>1542</v>
      </c>
      <c r="N7" s="75"/>
      <c r="O7" s="83">
        <f ca="1">IF(OR($C7="",SUM($R$20:$R$17114)=0),"",SUMIF('Číselník škol'!$B$14:$B$23,$C7,'Číselník škol'!H$14:H$23))</f>
        <v>7065</v>
      </c>
      <c r="P7" s="83"/>
      <c r="Q7" s="77" t="str">
        <f>IF(COUNTA('Číselník škol'!$B$14:$B$23)&gt;=1,"1.","")</f>
        <v>1.</v>
      </c>
      <c r="R7" s="77"/>
      <c r="T7" s="24"/>
      <c r="U7" s="31">
        <f ca="1">MIN(E7:N7)</f>
        <v>1542</v>
      </c>
    </row>
    <row r="8" spans="3:21" s="30" customFormat="1" ht="42" customHeight="1" x14ac:dyDescent="0.2">
      <c r="C8" s="84" t="str">
        <f ca="1">IF(OR(SUM($R$20:$R$17114)=0,Q8="",SUMIF('Číselník škol'!$I$14:$I$23,VALUE(LEFT(Q8,1)),'Číselník škol'!$A$14:$A$23)=0),"",LOOKUP(SUMIF('Číselník škol'!$I$14:$I$23,VALUE(LEFT(Q8,1)),'Číselník škol'!$A$14:$A$23),'Číselník škol'!$A$14:$A$23,'Číselník škol'!$B$14:$B$23))</f>
        <v>Gymnázium, Trutnov</v>
      </c>
      <c r="D8" s="84"/>
      <c r="E8" s="75">
        <f ca="1">IF(OR(OR($C8="",SUM($R$20:$R$17114)=0),SUM($R$20:$R$17114)=0),"",SUMIF('Číselník škol'!$B$14:$B$23,$C8,'Číselník škol'!C$14:C$23))</f>
        <v>1688</v>
      </c>
      <c r="F8" s="75"/>
      <c r="G8" s="75">
        <f ca="1">IF(OR(OR($C8="",SUM($R$20:$R$17114)=0),SUM($R$20:$R$17114)=0),"",SUMIF('Číselník škol'!$B$14:$B$23,$C8,'Číselník škol'!D$14:D$23))</f>
        <v>1381</v>
      </c>
      <c r="H8" s="75"/>
      <c r="I8" s="75">
        <f ca="1">IF(OR(OR($C8="",SUM($R$20:$R$17114)=0),SUM($R$20:$R$17114)=0),"",SUMIF('Číselník škol'!$B$14:$B$23,$C8,'Číselník škol'!E$14:E$23))</f>
        <v>1972</v>
      </c>
      <c r="J8" s="75"/>
      <c r="K8" s="75">
        <f ca="1">IF(OR(OR($C8="",SUM($R$20:$R$17114)=0),SUM($R$20:$R$17114)=0),"",SUMIF('Číselník škol'!$B$14:$B$23,$C8,'Číselník škol'!F$14:F$23))</f>
        <v>1894</v>
      </c>
      <c r="L8" s="75"/>
      <c r="M8" s="75">
        <f ca="1">IF(OR(OR($C8="",SUM($R$20:$R$17114)=0),SUM($R$20:$R$17114)=0),"",SUMIF('Číselník škol'!$B$14:$B$23,$C8,'Číselník škol'!G$14:G$23))</f>
        <v>0</v>
      </c>
      <c r="N8" s="75"/>
      <c r="O8" s="85">
        <f ca="1">IF(OR(OR($C8="",SUM($R$20:$R$17114)=0),SUM($R$20:$R$17114)=0),"",SUMIF('Číselník škol'!$B$14:$B$23,$C8,'Číselník škol'!H$14:H$23))</f>
        <v>6935</v>
      </c>
      <c r="P8" s="85"/>
      <c r="Q8" s="77" t="str">
        <f>IF(COUNTA('Číselník škol'!$B$14:$B$23)&gt;=2,"2.","")</f>
        <v>2.</v>
      </c>
      <c r="R8" s="77"/>
      <c r="T8" s="24"/>
      <c r="U8" s="31">
        <f t="shared" ref="U8:U12" ca="1" si="0">MIN(E8:N8)</f>
        <v>0</v>
      </c>
    </row>
    <row r="9" spans="3:21" s="30" customFormat="1" ht="42" customHeight="1" x14ac:dyDescent="0.2">
      <c r="C9" s="82" t="str">
        <f ca="1">IF(OR(SUM($R$20:$R$17114)=0,Q9="",SUMIF('Číselník škol'!$I$14:$I$23,VALUE(LEFT(Q9,1)),'Číselník škol'!$A$14:$A$23)=0),"",LOOKUP(SUMIF('Číselník škol'!$I$14:$I$23,VALUE(LEFT(Q9,1)),'Číselník škol'!$A$14:$A$23),'Číselník škol'!$A$14:$A$23,'Číselník škol'!$B$14:$B$23))</f>
        <v>ZŠ Hradec Králové, Štefcova</v>
      </c>
      <c r="D9" s="82"/>
      <c r="E9" s="75">
        <f ca="1">IF(OR($C9="",SUM($R$20:$R$17114)=0),"",SUMIF('Číselník škol'!$B$14:$B$23,$C9,'Číselník škol'!C$14:C$23))</f>
        <v>1751</v>
      </c>
      <c r="F9" s="75"/>
      <c r="G9" s="75">
        <f ca="1">IF(OR($C9="",SUM($R$20:$R$17114)=0),"",SUMIF('Číselník škol'!$B$14:$B$23,$C9,'Číselník škol'!D$14:D$23))</f>
        <v>1791</v>
      </c>
      <c r="H9" s="75"/>
      <c r="I9" s="75">
        <f ca="1">IF(OR($C9="",SUM($R$20:$R$17114)=0),"",SUMIF('Číselník škol'!$B$14:$B$23,$C9,'Číselník škol'!E$14:E$23))</f>
        <v>1747</v>
      </c>
      <c r="J9" s="75"/>
      <c r="K9" s="75">
        <f ca="1">IF(OR($C9="",SUM($R$20:$R$17114)=0),"",SUMIF('Číselník škol'!$B$14:$B$23,$C9,'Číselník škol'!F$14:F$23))</f>
        <v>1613</v>
      </c>
      <c r="L9" s="75"/>
      <c r="M9" s="75">
        <f ca="1">IF(OR($C9="",SUM($R$20:$R$17114)=0),"",SUMIF('Číselník škol'!$B$14:$B$23,$C9,'Číselník škol'!G$14:G$23))</f>
        <v>1417</v>
      </c>
      <c r="N9" s="75"/>
      <c r="O9" s="81">
        <f ca="1">IF(OR($C9="",SUM($R$20:$R$17114)=0),"",SUMIF('Číselník škol'!$B$14:$B$23,$C9,'Číselník škol'!H$14:H$23))</f>
        <v>6902</v>
      </c>
      <c r="P9" s="81"/>
      <c r="Q9" s="77" t="str">
        <f>IF(COUNTA('Číselník škol'!$B$14:$B$23)&gt;=3,"3.","")</f>
        <v>3.</v>
      </c>
      <c r="R9" s="77"/>
      <c r="T9" s="24"/>
      <c r="U9" s="31">
        <f t="shared" ca="1" si="0"/>
        <v>1417</v>
      </c>
    </row>
    <row r="10" spans="3:21" s="30" customFormat="1" ht="25.5" customHeight="1" x14ac:dyDescent="0.2">
      <c r="C10" s="76" t="str">
        <f ca="1">IF(OR(SUM($R$20:$R$17114)=0,Q10="",SUMIF('Číselník škol'!$I$14:$I$23,VALUE(LEFT(Q10,1)),'Číselník škol'!$A$14:$A$23)=0),"",LOOKUP(SUMIF('Číselník škol'!$I$14:$I$23,VALUE(LEFT(Q10,1)),'Číselník škol'!$A$14:$A$23),'Číselník škol'!$A$14:$A$23,'Číselník škol'!$B$14:$B$23))</f>
        <v>Lepařovo gymnázium, Jičín</v>
      </c>
      <c r="D10" s="76"/>
      <c r="E10" s="75">
        <f ca="1">IF($C10="","",SUMIF('Číselník škol'!$B$14:$B$23,$C10,'Číselník škol'!C$14:C$23))</f>
        <v>1785</v>
      </c>
      <c r="F10" s="75"/>
      <c r="G10" s="75">
        <f ca="1">IF($C10="","",SUMIF('Číselník škol'!$B$14:$B$23,$C10,'Číselník škol'!D$14:D$23))</f>
        <v>1477</v>
      </c>
      <c r="H10" s="75"/>
      <c r="I10" s="75">
        <f ca="1">IF($C10="","",SUMIF('Číselník škol'!$B$14:$B$23,$C10,'Číselník škol'!E$14:E$23))</f>
        <v>1354</v>
      </c>
      <c r="J10" s="75"/>
      <c r="K10" s="75">
        <f ca="1">IF($C10="","",SUMIF('Číselník škol'!$B$14:$B$23,$C10,'Číselník škol'!F$14:F$23))</f>
        <v>1583</v>
      </c>
      <c r="L10" s="75"/>
      <c r="M10" s="75">
        <f ca="1">IF($C10="","",SUMIF('Číselník škol'!$B$14:$B$23,$C10,'Číselník škol'!G$14:G$23))</f>
        <v>1654</v>
      </c>
      <c r="N10" s="75"/>
      <c r="O10" s="78">
        <f ca="1">IF($C10="","",SUMIF('Číselník škol'!$B$14:$B$23,$C10,'Číselník škol'!H$14:H$23))</f>
        <v>6499</v>
      </c>
      <c r="P10" s="78"/>
      <c r="Q10" s="77" t="str">
        <f>IF(COUNTA('Číselník škol'!$B$14:$B$23)&gt;=4,"4.","")</f>
        <v>4.</v>
      </c>
      <c r="R10" s="77"/>
      <c r="T10" s="24"/>
      <c r="U10" s="31">
        <f t="shared" ca="1" si="0"/>
        <v>1354</v>
      </c>
    </row>
    <row r="11" spans="3:21" s="30" customFormat="1" ht="25.5" customHeight="1" x14ac:dyDescent="0.2">
      <c r="C11" s="76" t="str">
        <f ca="1">IF(OR(SUM($R$20:$R$17114)=0,Q11="",SUMIF('Číselník škol'!$I$14:$I$23,VALUE(LEFT(Q11,1)),'Číselník škol'!$A$14:$A$23)=0),"",LOOKUP(SUMIF('Číselník škol'!$I$14:$I$23,VALUE(LEFT(Q11,1)),'Číselník škol'!$A$14:$A$23),'Číselník škol'!$A$14:$A$23,'Číselník škol'!$B$14:$B$23))</f>
        <v>Jiráskovo gymnázium, Náchod</v>
      </c>
      <c r="D11" s="76"/>
      <c r="E11" s="75">
        <f ca="1">IF($C11="","",SUMIF('Číselník škol'!$B$14:$B$23,$C11,'Číselník škol'!C$14:C$23))</f>
        <v>1598</v>
      </c>
      <c r="F11" s="75"/>
      <c r="G11" s="75">
        <f ca="1">IF($C11="","",SUMIF('Číselník škol'!$B$14:$B$23,$C11,'Číselník škol'!D$14:D$23))</f>
        <v>1701</v>
      </c>
      <c r="H11" s="75"/>
      <c r="I11" s="75">
        <f ca="1">IF($C11="","",SUMIF('Číselník škol'!$B$14:$B$23,$C11,'Číselník škol'!E$14:E$23))</f>
        <v>1681</v>
      </c>
      <c r="J11" s="75"/>
      <c r="K11" s="75">
        <f ca="1">IF($C11="","",SUMIF('Číselník škol'!$B$14:$B$23,$C11,'Číselník škol'!F$14:F$23))</f>
        <v>1356</v>
      </c>
      <c r="L11" s="75"/>
      <c r="M11" s="75">
        <f ca="1">IF($C11="","",SUMIF('Číselník škol'!$B$14:$B$23,$C11,'Číselník škol'!G$14:G$23))</f>
        <v>1332</v>
      </c>
      <c r="N11" s="75"/>
      <c r="O11" s="78">
        <f ca="1">IF($C11="","",SUMIF('Číselník škol'!$B$14:$B$23,$C11,'Číselník škol'!H$14:H$23))</f>
        <v>6336</v>
      </c>
      <c r="P11" s="78"/>
      <c r="Q11" s="77" t="str">
        <f>IF(COUNTA('Číselník škol'!$B$14:$B$23)&gt;=5,"5.","")</f>
        <v>5.</v>
      </c>
      <c r="R11" s="77"/>
      <c r="T11" s="24"/>
      <c r="U11" s="31">
        <f t="shared" ca="1" si="0"/>
        <v>1332</v>
      </c>
    </row>
    <row r="12" spans="3:21" s="30" customFormat="1" ht="25.5" customHeight="1" x14ac:dyDescent="0.2">
      <c r="C12" s="76" t="str">
        <f ca="1">IF(OR(SUM($R$20:$R$17114)=0,Q12="",SUMIF('Číselník škol'!$I$14:$I$23,VALUE(LEFT(Q12,1)),'Číselník škol'!$A$14:$A$23)=0),"",LOOKUP(SUMIF('Číselník škol'!$I$14:$I$23,VALUE(LEFT(Q12,1)),'Číselník škol'!$A$14:$A$23),'Číselník škol'!$A$14:$A$23,'Číselník škol'!$B$14:$B$23))</f>
        <v>ZŠ Nové Město nad Metují</v>
      </c>
      <c r="D12" s="76"/>
      <c r="E12" s="75">
        <f ca="1">IF($C12="","",SUMIF('Číselník škol'!$B$14:$B$23,$C12,'Číselník škol'!C$14:C$23))</f>
        <v>1797</v>
      </c>
      <c r="F12" s="75"/>
      <c r="G12" s="75">
        <f ca="1">IF($C12="","",SUMIF('Číselník škol'!$B$14:$B$23,$C12,'Číselník škol'!D$14:D$23))</f>
        <v>1871</v>
      </c>
      <c r="H12" s="75"/>
      <c r="I12" s="75">
        <f ca="1">IF($C12="","",SUMIF('Číselník škol'!$B$14:$B$23,$C12,'Číselník škol'!E$14:E$23))</f>
        <v>1339</v>
      </c>
      <c r="J12" s="75"/>
      <c r="K12" s="75">
        <f ca="1">IF($C12="","",SUMIF('Číselník škol'!$B$14:$B$23,$C12,'Číselník škol'!F$14:F$23))</f>
        <v>1201</v>
      </c>
      <c r="L12" s="75"/>
      <c r="M12" s="75">
        <f ca="1">IF($C12="","",SUMIF('Číselník škol'!$B$14:$B$23,$C12,'Číselník škol'!G$14:G$23))</f>
        <v>0</v>
      </c>
      <c r="N12" s="75"/>
      <c r="O12" s="78">
        <f ca="1">IF($C12="","",SUMIF('Číselník škol'!$B$14:$B$23,$C12,'Číselník škol'!H$14:H$23))</f>
        <v>6208</v>
      </c>
      <c r="P12" s="78"/>
      <c r="Q12" s="77" t="str">
        <f>IF(COUNTA('Číselník škol'!$B$14:$B$23)&gt;=6,"6.","")</f>
        <v>6.</v>
      </c>
      <c r="R12" s="77"/>
      <c r="T12" s="24"/>
      <c r="U12" s="31">
        <f t="shared" ca="1" si="0"/>
        <v>0</v>
      </c>
    </row>
    <row r="13" spans="3:21" s="30" customFormat="1" ht="25.5" customHeight="1" x14ac:dyDescent="0.2">
      <c r="C13" s="76" t="str">
        <f ca="1">IF(OR(SUM($R$20:$R$17114)=0,Q13="",SUMIF('Číselník škol'!$I$14:$I$23,VALUE(LEFT(Q13,1)),'Číselník škol'!$A$14:$A$23)=0),"",LOOKUP(SUMIF('Číselník škol'!$I$14:$I$23,VALUE(LEFT(Q13,1)),'Číselník škol'!$A$14:$A$23),'Číselník škol'!$A$14:$A$23,'Číselník škol'!$B$14:$B$23))</f>
        <v>ZŠ Sobotka</v>
      </c>
      <c r="D13" s="76"/>
      <c r="E13" s="75">
        <f ca="1">IF($C13="","",SUMIF('Číselník škol'!$B$14:$B$23,$C13,'Číselník škol'!C$14:C$23))</f>
        <v>1535</v>
      </c>
      <c r="F13" s="75"/>
      <c r="G13" s="75">
        <f ca="1">IF($C13="","",SUMIF('Číselník škol'!$B$14:$B$23,$C13,'Číselník škol'!D$14:D$23))</f>
        <v>1398</v>
      </c>
      <c r="H13" s="75"/>
      <c r="I13" s="75">
        <f ca="1">IF($C13="","",SUMIF('Číselník škol'!$B$14:$B$23,$C13,'Číselník škol'!E$14:E$23))</f>
        <v>1267</v>
      </c>
      <c r="J13" s="75"/>
      <c r="K13" s="75">
        <f ca="1">IF($C13="","",SUMIF('Číselník škol'!$B$14:$B$23,$C13,'Číselník škol'!F$14:F$23))</f>
        <v>1586</v>
      </c>
      <c r="L13" s="75"/>
      <c r="M13" s="75">
        <f ca="1">IF($C13="","",SUMIF('Číselník škol'!$B$14:$B$23,$C13,'Číselník škol'!G$14:G$23))</f>
        <v>1140</v>
      </c>
      <c r="N13" s="75"/>
      <c r="O13" s="78">
        <f ca="1">IF($C13="","",SUMIF('Číselník škol'!$B$14:$B$23,$C13,'Číselník škol'!H$14:H$23))</f>
        <v>5786</v>
      </c>
      <c r="P13" s="78"/>
      <c r="Q13" s="77" t="str">
        <f>IF(COUNTA('Číselník škol'!$B$14:$B$23)&gt;=7,"7.","")</f>
        <v>7.</v>
      </c>
      <c r="R13" s="77"/>
      <c r="T13" s="24"/>
      <c r="U13" s="31"/>
    </row>
    <row r="14" spans="3:21" s="30" customFormat="1" ht="25.5" customHeight="1" x14ac:dyDescent="0.2">
      <c r="C14" s="76" t="str">
        <f ca="1">IF(OR(SUM($R$20:$R$17114)=0,Q14="",SUMIF('Číselník škol'!$I$14:$I$23,VALUE(LEFT(Q14,1)),'Číselník škol'!$A$14:$A$23)=0),"",LOOKUP(SUMIF('Číselník škol'!$I$14:$I$23,VALUE(LEFT(Q14,1)),'Číselník škol'!$A$14:$A$23),'Číselník škol'!$A$14:$A$23,'Číselník škol'!$B$14:$B$23))</f>
        <v>ZŠ Rychnov nad Kněžnou, Masarykova</v>
      </c>
      <c r="D14" s="76"/>
      <c r="E14" s="75">
        <f ca="1">IF($C14="","",SUMIF('Číselník škol'!$B$14:$B$23,$C14,'Číselník škol'!C$14:C$23))</f>
        <v>1411</v>
      </c>
      <c r="F14" s="75"/>
      <c r="G14" s="75">
        <f ca="1">IF($C14="","",SUMIF('Číselník škol'!$B$14:$B$23,$C14,'Číselník škol'!D$14:D$23))</f>
        <v>1276</v>
      </c>
      <c r="H14" s="75"/>
      <c r="I14" s="75">
        <f ca="1">IF($C14="","",SUMIF('Číselník škol'!$B$14:$B$23,$C14,'Číselník škol'!E$14:E$23))</f>
        <v>1736</v>
      </c>
      <c r="J14" s="75"/>
      <c r="K14" s="75">
        <f ca="1">IF($C14="","",SUMIF('Číselník škol'!$B$14:$B$23,$C14,'Číselník škol'!F$14:F$23))</f>
        <v>1132</v>
      </c>
      <c r="L14" s="75"/>
      <c r="M14" s="75">
        <f ca="1">IF($C14="","",SUMIF('Číselník škol'!$B$14:$B$23,$C14,'Číselník škol'!G$14:G$23))</f>
        <v>1187</v>
      </c>
      <c r="N14" s="75"/>
      <c r="O14" s="78">
        <f ca="1">IF($C14="","",SUMIF('Číselník škol'!$B$14:$B$23,$C14,'Číselník škol'!H$14:H$23))</f>
        <v>5610</v>
      </c>
      <c r="P14" s="78"/>
      <c r="Q14" s="77" t="str">
        <f>IF(COUNTA('Číselník škol'!$B$14:$B$23)&gt;=8,"8.","")</f>
        <v>8.</v>
      </c>
      <c r="R14" s="77"/>
      <c r="T14" s="24"/>
      <c r="U14" s="31"/>
    </row>
    <row r="15" spans="3:21" s="30" customFormat="1" ht="25.5" customHeight="1" x14ac:dyDescent="0.2">
      <c r="C15" s="76" t="str">
        <f ca="1">IF(OR(SUM($R$20:$R$17114)=0,Q15="",SUMIF('Číselník škol'!$I$14:$I$23,VALUE(LEFT(Q15,1)),'Číselník škol'!$A$14:$A$23)=0),"",LOOKUP(SUMIF('Číselník škol'!$I$14:$I$23,VALUE(LEFT(Q15,1)),'Číselník škol'!$A$14:$A$23),'Číselník škol'!$A$14:$A$23,'Číselník škol'!$B$14:$B$23))</f>
        <v>Gymnázium, Dobruška</v>
      </c>
      <c r="D15" s="76"/>
      <c r="E15" s="75">
        <f ca="1">IF($C15="","",SUMIF('Číselník škol'!$B$14:$B$23,$C15,'Číselník škol'!C$14:C$23))</f>
        <v>1556</v>
      </c>
      <c r="F15" s="75"/>
      <c r="G15" s="75">
        <f ca="1">IF($C15="","",SUMIF('Číselník škol'!$B$14:$B$23,$C15,'Číselník škol'!D$14:D$23))</f>
        <v>1567</v>
      </c>
      <c r="H15" s="75"/>
      <c r="I15" s="75">
        <f ca="1">IF($C15="","",SUMIF('Číselník škol'!$B$14:$B$23,$C15,'Číselník škol'!E$14:E$23))</f>
        <v>933</v>
      </c>
      <c r="J15" s="75"/>
      <c r="K15" s="75">
        <f ca="1">IF($C15="","",SUMIF('Číselník škol'!$B$14:$B$23,$C15,'Číselník škol'!F$14:F$23))</f>
        <v>1066</v>
      </c>
      <c r="L15" s="75"/>
      <c r="M15" s="75">
        <f ca="1">IF($C15="","",SUMIF('Číselník škol'!$B$14:$B$23,$C15,'Číselník škol'!G$14:G$23))</f>
        <v>1139</v>
      </c>
      <c r="N15" s="75"/>
      <c r="O15" s="78">
        <f ca="1">IF($C15="","",SUMIF('Číselník škol'!$B$14:$B$23,$C15,'Číselník škol'!H$14:H$23))</f>
        <v>5328</v>
      </c>
      <c r="P15" s="78"/>
      <c r="Q15" s="77" t="str">
        <f>IF(COUNTA('Číselník škol'!$B$14:$B$23)&gt;=9,"9.","")</f>
        <v>9.</v>
      </c>
      <c r="R15" s="77"/>
      <c r="T15" s="24"/>
      <c r="U15" s="31"/>
    </row>
    <row r="16" spans="3:21" s="30" customFormat="1" ht="25.5" customHeight="1" x14ac:dyDescent="0.2">
      <c r="C16" s="76" t="str">
        <f ca="1">IF(OR(SUM($R$20:$R$17114)=0,Q16="",SUMIF('Číselník škol'!$I$14:$I$23,VALUE(LEFT(Q16,1)),'Číselník škol'!$A$14:$A$23)=0),"",LOOKUP(SUMIF('Číselník škol'!$I$14:$I$23,VALUE(LEFT(Q16,2)),'Číselník škol'!$A$14:$A$23),'Číselník škol'!$A$14:$A$23,'Číselník škol'!$B$14:$B$23))</f>
        <v>ZŠ a MŠ Hradec Králové, Kukleny</v>
      </c>
      <c r="D16" s="76"/>
      <c r="E16" s="75">
        <f ca="1">IF($C16="","",SUMIF('Číselník škol'!$B$14:$B$23,$C16,'Číselník škol'!C$14:C$23))</f>
        <v>1094</v>
      </c>
      <c r="F16" s="75"/>
      <c r="G16" s="75">
        <f ca="1">IF($C16="","",SUMIF('Číselník škol'!$B$14:$B$23,$C16,'Číselník škol'!D$14:D$23))</f>
        <v>1584</v>
      </c>
      <c r="H16" s="75"/>
      <c r="I16" s="75">
        <f ca="1">IF($C16="","",SUMIF('Číselník škol'!$B$14:$B$23,$C16,'Číselník škol'!E$14:E$23))</f>
        <v>1435</v>
      </c>
      <c r="J16" s="75"/>
      <c r="K16" s="75">
        <f ca="1">IF($C16="","",SUMIF('Číselník škol'!$B$14:$B$23,$C16,'Číselník škol'!F$14:F$23))</f>
        <v>1010</v>
      </c>
      <c r="L16" s="75"/>
      <c r="M16" s="75">
        <f ca="1">IF($C16="","",SUMIF('Číselník škol'!$B$14:$B$23,$C16,'Číselník škol'!G$14:G$23))</f>
        <v>865</v>
      </c>
      <c r="N16" s="75"/>
      <c r="O16" s="78">
        <f ca="1">IF($C16="","",SUMIF('Číselník škol'!$B$14:$B$23,$C16,'Číselník škol'!H$14:H$23))</f>
        <v>5123</v>
      </c>
      <c r="P16" s="78"/>
      <c r="Q16" s="77" t="str">
        <f>IF(COUNTA('Číselník škol'!$B$14:$B$23)&gt;=10,"10.","")</f>
        <v>10.</v>
      </c>
      <c r="R16" s="77"/>
      <c r="T16" s="24"/>
    </row>
    <row r="18" spans="1:22" ht="29.25" x14ac:dyDescent="0.4">
      <c r="C18" s="28" t="s">
        <v>17</v>
      </c>
    </row>
    <row r="19" spans="1:22" ht="15.75" customHeight="1" x14ac:dyDescent="0.2">
      <c r="C19" s="35" t="s">
        <v>0</v>
      </c>
      <c r="D19" s="35" t="s">
        <v>1</v>
      </c>
      <c r="E19" s="80">
        <v>60</v>
      </c>
      <c r="F19" s="80"/>
      <c r="G19" s="80">
        <v>800</v>
      </c>
      <c r="H19" s="80"/>
      <c r="I19" s="80"/>
      <c r="J19" s="79" t="s">
        <v>2</v>
      </c>
      <c r="K19" s="79"/>
      <c r="L19" s="79" t="s">
        <v>3</v>
      </c>
      <c r="M19" s="79"/>
      <c r="N19" s="79" t="s">
        <v>4</v>
      </c>
      <c r="O19" s="79"/>
      <c r="P19" s="79" t="s">
        <v>5</v>
      </c>
      <c r="Q19" s="79"/>
      <c r="R19" s="36" t="s">
        <v>6</v>
      </c>
      <c r="S19" s="36" t="s">
        <v>7</v>
      </c>
    </row>
    <row r="20" spans="1:22" x14ac:dyDescent="0.2">
      <c r="A20" s="24" t="str">
        <f>IF(C20="","",SUMIF('Číselník škol'!$B$14:$B$23,'D jednotlivci'!D20,'Číselník škol'!$A$14:$A$23)&amp;"/"&amp;COUNTIF($D$20:D20,D20))</f>
        <v>1/1</v>
      </c>
      <c r="C20" s="7" t="s">
        <v>36</v>
      </c>
      <c r="D20" s="8" t="s">
        <v>60</v>
      </c>
      <c r="E20" s="17">
        <v>9.2799999999999994</v>
      </c>
      <c r="F20" s="32">
        <f>IF(E20="","",INT(46.0849*POWER(12.76-IF(E20&gt;12.76,12.76,E20),1.81)))</f>
        <v>440</v>
      </c>
      <c r="G20" s="9">
        <v>3</v>
      </c>
      <c r="H20" s="48">
        <v>30.5</v>
      </c>
      <c r="I20" s="32">
        <f>IF(G20="","",IF(G20*60+H20&gt;254,0,INT(0.11193*POWER(254-(G20*60+H20),1.88))))</f>
        <v>134</v>
      </c>
      <c r="J20" s="18"/>
      <c r="K20" s="32" t="str">
        <f>IF(J20="","",IF(J20&lt;210,0,INT(0.188807*POWER(J20-210,1.41))))</f>
        <v/>
      </c>
      <c r="L20" s="18">
        <v>139</v>
      </c>
      <c r="M20" s="32">
        <f>IF(L20="","",IF(L20&lt;75,0,INT(1.84523*POWER(L20-75,1.348))))</f>
        <v>502</v>
      </c>
      <c r="N20" s="19">
        <v>9.8800000000000008</v>
      </c>
      <c r="O20" s="32">
        <f>IF(N20="","",IF(N20&lt;1.5,0,INT(56.02111*POWER(N20-1.5,1.05))))</f>
        <v>522</v>
      </c>
      <c r="P20" s="19"/>
      <c r="Q20" s="32" t="str">
        <f>IF(P20="","",IF(P20&lt;1.1,0,INT(7.86*POWER(P20-7.95,1.1))))</f>
        <v/>
      </c>
      <c r="R20" s="33">
        <f>IF(OR(SUM(Q20,O20,M20,K20,I20,F20)=0,C20=""),"",SUM(Q20,O20,M20,K20,I20,F20))</f>
        <v>1598</v>
      </c>
      <c r="S20" s="34" t="str">
        <f>IF(OR(R20="",C20=""),"",RANK(R20,$R$20:$R$136,0)&amp;".")</f>
        <v>18.</v>
      </c>
      <c r="V20" s="24">
        <f>IF(C20="","",COUNT(E20,G20,J20,L20,N20,P20))</f>
        <v>4</v>
      </c>
    </row>
    <row r="21" spans="1:22" x14ac:dyDescent="0.2">
      <c r="A21" s="24" t="str">
        <f>IF(C21="","",SUMIF('Číselník škol'!$B$14:$B$23,'D jednotlivci'!D21,'Číselník škol'!$A$14:$A$23)&amp;"/"&amp;COUNTIF($D$20:D21,D21))</f>
        <v>1/2</v>
      </c>
      <c r="C21" s="7" t="s">
        <v>37</v>
      </c>
      <c r="D21" s="8" t="s">
        <v>60</v>
      </c>
      <c r="E21" s="17">
        <v>8.66</v>
      </c>
      <c r="F21" s="32">
        <f t="shared" ref="F21:F84" si="1">IF(E21="","",INT(46.0849*POWER(12.76-IF(E21&gt;12.76,12.76,E21),1.81)))</f>
        <v>592</v>
      </c>
      <c r="G21" s="9">
        <v>3</v>
      </c>
      <c r="H21" s="48">
        <v>21.2</v>
      </c>
      <c r="I21" s="32">
        <f t="shared" ref="I21:I84" si="2">IF(G21="","",IF(G21*60+H21&gt;254,0,INT(0.11193*POWER(254-(G21*60+H21),1.88))))</f>
        <v>193</v>
      </c>
      <c r="J21" s="18"/>
      <c r="K21" s="32" t="str">
        <f t="shared" ref="K21:K84" si="3">IF(J21="","",IF(J21&lt;210,0,INT(0.188807*POWER(J21-210,1.41))))</f>
        <v/>
      </c>
      <c r="L21" s="18">
        <v>143</v>
      </c>
      <c r="M21" s="32">
        <f t="shared" ref="M21:M84" si="4">IF(L21="","",IF(L21&lt;75,0,INT(1.84523*POWER(L21-75,1.348))))</f>
        <v>544</v>
      </c>
      <c r="N21" s="19">
        <v>7.57</v>
      </c>
      <c r="O21" s="32">
        <f t="shared" ref="O21:O84" si="5">IF(N21="","",IF(N21&lt;1.5,0,INT(56.02111*POWER(N21-1.5,1.05))))</f>
        <v>372</v>
      </c>
      <c r="P21" s="19"/>
      <c r="Q21" s="32" t="str">
        <f t="shared" ref="Q21:Q84" si="6">IF(P21="","",IF(P21&lt;1.1,0,INT(7.86*POWER(P21-7.95,1.1))))</f>
        <v/>
      </c>
      <c r="R21" s="33">
        <f t="shared" ref="R21:R84" si="7">IF(OR(SUM(Q21,O21,M21,K21,I21,F21)=0,C21=""),"",SUM(Q21,O21,M21,K21,I21,F21))</f>
        <v>1701</v>
      </c>
      <c r="S21" s="34" t="str">
        <f t="shared" ref="S21:S84" si="8">IF(OR(R21="",C21=""),"",RANK(R21,$R$20:$R$136,0)&amp;".")</f>
        <v>12.</v>
      </c>
      <c r="V21" s="24">
        <f t="shared" ref="V21:V84" si="9">IF(C21="","",COUNT(E21,G21,J21,L21,N21,P21))</f>
        <v>4</v>
      </c>
    </row>
    <row r="22" spans="1:22" x14ac:dyDescent="0.2">
      <c r="A22" s="24" t="str">
        <f>IF(C22="","",SUMIF('Číselník škol'!$B$14:$B$23,'D jednotlivci'!D22,'Číselník škol'!$A$14:$A$23)&amp;"/"&amp;COUNTIF($D$20:D22,D22))</f>
        <v>1/3</v>
      </c>
      <c r="C22" s="7" t="s">
        <v>38</v>
      </c>
      <c r="D22" s="8" t="s">
        <v>60</v>
      </c>
      <c r="E22" s="17">
        <v>9.2200000000000006</v>
      </c>
      <c r="F22" s="32">
        <f t="shared" si="1"/>
        <v>454</v>
      </c>
      <c r="G22" s="9">
        <v>3</v>
      </c>
      <c r="H22" s="48">
        <v>24.8</v>
      </c>
      <c r="I22" s="32">
        <f t="shared" si="2"/>
        <v>169</v>
      </c>
      <c r="J22" s="18"/>
      <c r="K22" s="32" t="str">
        <f t="shared" si="3"/>
        <v/>
      </c>
      <c r="L22" s="18">
        <v>139</v>
      </c>
      <c r="M22" s="32">
        <f t="shared" si="4"/>
        <v>502</v>
      </c>
      <c r="N22" s="19"/>
      <c r="O22" s="32" t="str">
        <f t="shared" si="5"/>
        <v/>
      </c>
      <c r="P22" s="19">
        <v>56</v>
      </c>
      <c r="Q22" s="32">
        <f t="shared" si="6"/>
        <v>556</v>
      </c>
      <c r="R22" s="33">
        <f t="shared" si="7"/>
        <v>1681</v>
      </c>
      <c r="S22" s="34" t="str">
        <f t="shared" si="8"/>
        <v>14.</v>
      </c>
      <c r="V22" s="24">
        <f t="shared" si="9"/>
        <v>4</v>
      </c>
    </row>
    <row r="23" spans="1:22" x14ac:dyDescent="0.2">
      <c r="A23" s="24" t="str">
        <f>IF(C23="","",SUMIF('Číselník škol'!$B$14:$B$23,'D jednotlivci'!D23,'Číselník škol'!$A$14:$A$23)&amp;"/"&amp;COUNTIF($D$20:D23,D23))</f>
        <v>1/4</v>
      </c>
      <c r="C23" s="7" t="s">
        <v>39</v>
      </c>
      <c r="D23" s="8" t="s">
        <v>60</v>
      </c>
      <c r="E23" s="17">
        <v>9.56</v>
      </c>
      <c r="F23" s="32">
        <f t="shared" si="1"/>
        <v>378</v>
      </c>
      <c r="G23" s="9">
        <v>2</v>
      </c>
      <c r="H23" s="48">
        <v>54.2</v>
      </c>
      <c r="I23" s="32">
        <f t="shared" si="2"/>
        <v>421</v>
      </c>
      <c r="J23" s="18">
        <v>376</v>
      </c>
      <c r="K23" s="32">
        <f t="shared" si="3"/>
        <v>254</v>
      </c>
      <c r="L23" s="18"/>
      <c r="M23" s="32" t="str">
        <f t="shared" si="4"/>
        <v/>
      </c>
      <c r="N23" s="19"/>
      <c r="O23" s="32" t="str">
        <f t="shared" si="5"/>
        <v/>
      </c>
      <c r="P23" s="19">
        <v>35.630000000000003</v>
      </c>
      <c r="Q23" s="32">
        <f t="shared" si="6"/>
        <v>303</v>
      </c>
      <c r="R23" s="33">
        <f t="shared" si="7"/>
        <v>1356</v>
      </c>
      <c r="S23" s="34" t="str">
        <f t="shared" si="8"/>
        <v>33.</v>
      </c>
      <c r="V23" s="24">
        <f t="shared" si="9"/>
        <v>4</v>
      </c>
    </row>
    <row r="24" spans="1:22" x14ac:dyDescent="0.2">
      <c r="A24" s="24" t="str">
        <f>IF(C24="","",SUMIF('Číselník škol'!$B$14:$B$23,'D jednotlivci'!D24,'Číselník škol'!$A$14:$A$23)&amp;"/"&amp;COUNTIF($D$20:D24,D24))</f>
        <v>1/5</v>
      </c>
      <c r="C24" s="7" t="s">
        <v>40</v>
      </c>
      <c r="D24" s="8" t="s">
        <v>60</v>
      </c>
      <c r="E24" s="17">
        <v>9.44</v>
      </c>
      <c r="F24" s="32">
        <f t="shared" si="1"/>
        <v>404</v>
      </c>
      <c r="G24" s="9">
        <v>3</v>
      </c>
      <c r="H24" s="48">
        <v>12.3</v>
      </c>
      <c r="I24" s="32">
        <f t="shared" si="2"/>
        <v>259</v>
      </c>
      <c r="J24" s="18">
        <v>399</v>
      </c>
      <c r="K24" s="32">
        <f t="shared" si="3"/>
        <v>306</v>
      </c>
      <c r="L24" s="18"/>
      <c r="M24" s="32" t="str">
        <f t="shared" si="4"/>
        <v/>
      </c>
      <c r="N24" s="19">
        <v>7.44</v>
      </c>
      <c r="O24" s="32">
        <f t="shared" si="5"/>
        <v>363</v>
      </c>
      <c r="P24" s="19"/>
      <c r="Q24" s="32" t="str">
        <f t="shared" si="6"/>
        <v/>
      </c>
      <c r="R24" s="33">
        <f t="shared" si="7"/>
        <v>1332</v>
      </c>
      <c r="S24" s="34" t="str">
        <f t="shared" si="8"/>
        <v>36.</v>
      </c>
      <c r="V24" s="24">
        <f t="shared" si="9"/>
        <v>4</v>
      </c>
    </row>
    <row r="25" spans="1:22" x14ac:dyDescent="0.2">
      <c r="A25" s="24" t="str">
        <f>IF(C25="","",SUMIF('Číselník škol'!$B$14:$B$23,'D jednotlivci'!D25,'Číselník škol'!$A$14:$A$23)&amp;"/"&amp;COUNTIF($D$20:D25,D25))</f>
        <v>2/1</v>
      </c>
      <c r="C25" s="7" t="s">
        <v>41</v>
      </c>
      <c r="D25" s="8" t="s">
        <v>59</v>
      </c>
      <c r="E25" s="17">
        <v>8.86</v>
      </c>
      <c r="F25" s="32">
        <f t="shared" si="1"/>
        <v>541</v>
      </c>
      <c r="G25" s="9">
        <v>2</v>
      </c>
      <c r="H25" s="48">
        <v>46.5</v>
      </c>
      <c r="I25" s="32">
        <f t="shared" si="2"/>
        <v>501</v>
      </c>
      <c r="J25" s="18"/>
      <c r="K25" s="32" t="str">
        <f t="shared" si="3"/>
        <v/>
      </c>
      <c r="L25" s="18">
        <v>135</v>
      </c>
      <c r="M25" s="32">
        <f t="shared" si="4"/>
        <v>460</v>
      </c>
      <c r="N25" s="19">
        <v>6.19</v>
      </c>
      <c r="O25" s="32">
        <f t="shared" si="5"/>
        <v>283</v>
      </c>
      <c r="P25" s="19"/>
      <c r="Q25" s="32" t="str">
        <f t="shared" si="6"/>
        <v/>
      </c>
      <c r="R25" s="33">
        <f t="shared" si="7"/>
        <v>1785</v>
      </c>
      <c r="S25" s="34" t="str">
        <f t="shared" si="8"/>
        <v>8.</v>
      </c>
      <c r="V25" s="24">
        <f t="shared" si="9"/>
        <v>4</v>
      </c>
    </row>
    <row r="26" spans="1:22" x14ac:dyDescent="0.2">
      <c r="A26" s="24" t="str">
        <f>IF(C26="","",SUMIF('Číselník škol'!$B$14:$B$23,'D jednotlivci'!D26,'Číselník škol'!$A$14:$A$23)&amp;"/"&amp;COUNTIF($D$20:D26,D26))</f>
        <v>2/2</v>
      </c>
      <c r="C26" s="7" t="s">
        <v>42</v>
      </c>
      <c r="D26" s="8" t="s">
        <v>59</v>
      </c>
      <c r="E26" s="17">
        <v>8.93</v>
      </c>
      <c r="F26" s="32">
        <f t="shared" si="1"/>
        <v>523</v>
      </c>
      <c r="G26" s="9">
        <v>3</v>
      </c>
      <c r="H26" s="48">
        <v>7.4</v>
      </c>
      <c r="I26" s="32">
        <f t="shared" si="2"/>
        <v>299</v>
      </c>
      <c r="J26" s="18">
        <v>389</v>
      </c>
      <c r="K26" s="32">
        <f t="shared" si="3"/>
        <v>283</v>
      </c>
      <c r="L26" s="18"/>
      <c r="M26" s="32" t="str">
        <f t="shared" si="4"/>
        <v/>
      </c>
      <c r="N26" s="19">
        <v>7.57</v>
      </c>
      <c r="O26" s="32">
        <f t="shared" si="5"/>
        <v>372</v>
      </c>
      <c r="P26" s="19"/>
      <c r="Q26" s="32" t="str">
        <f t="shared" si="6"/>
        <v/>
      </c>
      <c r="R26" s="33">
        <f t="shared" si="7"/>
        <v>1477</v>
      </c>
      <c r="S26" s="34" t="str">
        <f t="shared" si="8"/>
        <v>27.</v>
      </c>
      <c r="V26" s="24">
        <f t="shared" si="9"/>
        <v>4</v>
      </c>
    </row>
    <row r="27" spans="1:22" x14ac:dyDescent="0.2">
      <c r="A27" s="24" t="str">
        <f>IF(C27="","",SUMIF('Číselník škol'!$B$14:$B$23,'D jednotlivci'!D27,'Číselník škol'!$A$14:$A$23)&amp;"/"&amp;COUNTIF($D$20:D27,D27))</f>
        <v>2/3</v>
      </c>
      <c r="C27" s="7" t="s">
        <v>43</v>
      </c>
      <c r="D27" s="8" t="s">
        <v>59</v>
      </c>
      <c r="E27" s="17">
        <v>8.9700000000000006</v>
      </c>
      <c r="F27" s="32">
        <f t="shared" si="1"/>
        <v>513</v>
      </c>
      <c r="G27" s="9">
        <v>3</v>
      </c>
      <c r="H27" s="48">
        <v>3.8</v>
      </c>
      <c r="I27" s="32">
        <f t="shared" si="2"/>
        <v>331</v>
      </c>
      <c r="J27" s="18">
        <v>389</v>
      </c>
      <c r="K27" s="32">
        <f t="shared" si="3"/>
        <v>283</v>
      </c>
      <c r="L27" s="18"/>
      <c r="M27" s="32" t="str">
        <f t="shared" si="4"/>
        <v/>
      </c>
      <c r="N27" s="19"/>
      <c r="O27" s="32" t="str">
        <f t="shared" si="5"/>
        <v/>
      </c>
      <c r="P27" s="19">
        <v>29.3</v>
      </c>
      <c r="Q27" s="32">
        <f t="shared" si="6"/>
        <v>227</v>
      </c>
      <c r="R27" s="33">
        <f t="shared" si="7"/>
        <v>1354</v>
      </c>
      <c r="S27" s="34" t="str">
        <f t="shared" si="8"/>
        <v>34.</v>
      </c>
      <c r="V27" s="24">
        <f t="shared" si="9"/>
        <v>4</v>
      </c>
    </row>
    <row r="28" spans="1:22" x14ac:dyDescent="0.2">
      <c r="A28" s="24" t="str">
        <f>IF(C28="","",SUMIF('Číselník škol'!$B$14:$B$23,'D jednotlivci'!D28,'Číselník škol'!$A$14:$A$23)&amp;"/"&amp;COUNTIF($D$20:D28,D28))</f>
        <v>2/4</v>
      </c>
      <c r="C28" s="7" t="s">
        <v>44</v>
      </c>
      <c r="D28" s="8" t="s">
        <v>59</v>
      </c>
      <c r="E28" s="17">
        <v>8.8800000000000008</v>
      </c>
      <c r="F28" s="32">
        <f t="shared" si="1"/>
        <v>536</v>
      </c>
      <c r="G28" s="9">
        <v>3</v>
      </c>
      <c r="H28" s="48">
        <v>5.7</v>
      </c>
      <c r="I28" s="32">
        <f t="shared" si="2"/>
        <v>314</v>
      </c>
      <c r="J28" s="18"/>
      <c r="K28" s="32" t="str">
        <f t="shared" si="3"/>
        <v/>
      </c>
      <c r="L28" s="18">
        <v>127</v>
      </c>
      <c r="M28" s="32">
        <f t="shared" si="4"/>
        <v>379</v>
      </c>
      <c r="N28" s="19">
        <v>7.3</v>
      </c>
      <c r="O28" s="32">
        <f t="shared" si="5"/>
        <v>354</v>
      </c>
      <c r="P28" s="19"/>
      <c r="Q28" s="32" t="str">
        <f t="shared" si="6"/>
        <v/>
      </c>
      <c r="R28" s="33">
        <f t="shared" si="7"/>
        <v>1583</v>
      </c>
      <c r="S28" s="34" t="str">
        <f t="shared" si="8"/>
        <v>21.</v>
      </c>
      <c r="V28" s="24">
        <f t="shared" si="9"/>
        <v>4</v>
      </c>
    </row>
    <row r="29" spans="1:22" x14ac:dyDescent="0.2">
      <c r="A29" s="24" t="str">
        <f>IF(C29="","",SUMIF('Číselník škol'!$B$14:$B$23,'D jednotlivci'!D29,'Číselník škol'!$A$14:$A$23)&amp;"/"&amp;COUNTIF($D$20:D29,D29))</f>
        <v>2/5</v>
      </c>
      <c r="C29" s="7" t="s">
        <v>45</v>
      </c>
      <c r="D29" s="8" t="s">
        <v>59</v>
      </c>
      <c r="E29" s="17">
        <v>9.31</v>
      </c>
      <c r="F29" s="32">
        <f t="shared" si="1"/>
        <v>433</v>
      </c>
      <c r="G29" s="9">
        <v>2</v>
      </c>
      <c r="H29" s="48">
        <v>43.5</v>
      </c>
      <c r="I29" s="32">
        <f t="shared" si="2"/>
        <v>533</v>
      </c>
      <c r="J29" s="18"/>
      <c r="K29" s="32" t="str">
        <f t="shared" si="3"/>
        <v/>
      </c>
      <c r="L29" s="18">
        <v>131</v>
      </c>
      <c r="M29" s="32">
        <f t="shared" si="4"/>
        <v>419</v>
      </c>
      <c r="N29" s="19"/>
      <c r="O29" s="32" t="str">
        <f t="shared" si="5"/>
        <v/>
      </c>
      <c r="P29" s="19">
        <v>32.799999999999997</v>
      </c>
      <c r="Q29" s="32">
        <f t="shared" si="6"/>
        <v>269</v>
      </c>
      <c r="R29" s="33">
        <f t="shared" si="7"/>
        <v>1654</v>
      </c>
      <c r="S29" s="34" t="str">
        <f t="shared" si="8"/>
        <v>15.</v>
      </c>
      <c r="V29" s="24">
        <f t="shared" si="9"/>
        <v>4</v>
      </c>
    </row>
    <row r="30" spans="1:22" x14ac:dyDescent="0.2">
      <c r="A30" s="24" t="str">
        <f>IF(C30="","",SUMIF('Číselník škol'!$B$14:$B$23,'D jednotlivci'!D30,'Číselník škol'!$A$14:$A$23)&amp;"/"&amp;COUNTIF($D$20:D30,D30))</f>
        <v>3/1</v>
      </c>
      <c r="C30" s="7" t="s">
        <v>102</v>
      </c>
      <c r="D30" s="8" t="s">
        <v>57</v>
      </c>
      <c r="E30" s="17">
        <v>8.8800000000000008</v>
      </c>
      <c r="F30" s="32">
        <f t="shared" si="1"/>
        <v>536</v>
      </c>
      <c r="G30" s="9">
        <v>2</v>
      </c>
      <c r="H30" s="48">
        <v>53.8</v>
      </c>
      <c r="I30" s="32">
        <f t="shared" si="2"/>
        <v>425</v>
      </c>
      <c r="J30" s="18"/>
      <c r="K30" s="32" t="str">
        <f t="shared" si="3"/>
        <v/>
      </c>
      <c r="L30" s="18">
        <v>143</v>
      </c>
      <c r="M30" s="32">
        <f t="shared" si="4"/>
        <v>544</v>
      </c>
      <c r="N30" s="19">
        <v>8.91</v>
      </c>
      <c r="O30" s="32">
        <f t="shared" si="5"/>
        <v>458</v>
      </c>
      <c r="P30" s="19"/>
      <c r="Q30" s="32" t="str">
        <f t="shared" si="6"/>
        <v/>
      </c>
      <c r="R30" s="33">
        <f t="shared" si="7"/>
        <v>1963</v>
      </c>
      <c r="S30" s="34" t="str">
        <f t="shared" si="8"/>
        <v>2.</v>
      </c>
      <c r="V30" s="24">
        <f t="shared" si="9"/>
        <v>4</v>
      </c>
    </row>
    <row r="31" spans="1:22" x14ac:dyDescent="0.2">
      <c r="A31" s="24" t="str">
        <f>IF(C31="","",SUMIF('Číselník škol'!$B$14:$B$23,'D jednotlivci'!D31,'Číselník škol'!$A$14:$A$23)&amp;"/"&amp;COUNTIF($D$20:D31,D31))</f>
        <v>3/2</v>
      </c>
      <c r="C31" s="7" t="s">
        <v>103</v>
      </c>
      <c r="D31" s="8" t="s">
        <v>57</v>
      </c>
      <c r="E31" s="17">
        <v>8.64</v>
      </c>
      <c r="F31" s="32">
        <f t="shared" si="1"/>
        <v>597</v>
      </c>
      <c r="G31" s="9">
        <v>3</v>
      </c>
      <c r="H31" s="48">
        <v>4</v>
      </c>
      <c r="I31" s="32">
        <f t="shared" si="2"/>
        <v>329</v>
      </c>
      <c r="J31" s="18">
        <v>463</v>
      </c>
      <c r="K31" s="32">
        <f t="shared" si="3"/>
        <v>461</v>
      </c>
      <c r="L31" s="18"/>
      <c r="M31" s="32" t="str">
        <f t="shared" si="4"/>
        <v/>
      </c>
      <c r="N31" s="19"/>
      <c r="O31" s="32" t="str">
        <f t="shared" si="5"/>
        <v/>
      </c>
      <c r="P31" s="19">
        <v>31.4</v>
      </c>
      <c r="Q31" s="32">
        <f t="shared" si="6"/>
        <v>252</v>
      </c>
      <c r="R31" s="33">
        <f t="shared" si="7"/>
        <v>1639</v>
      </c>
      <c r="S31" s="34" t="str">
        <f t="shared" si="8"/>
        <v>16.</v>
      </c>
      <c r="V31" s="24">
        <f t="shared" si="9"/>
        <v>4</v>
      </c>
    </row>
    <row r="32" spans="1:22" x14ac:dyDescent="0.2">
      <c r="A32" s="24" t="str">
        <f>IF(C32="","",SUMIF('Číselník škol'!$B$14:$B$23,'D jednotlivci'!D32,'Číselník škol'!$A$14:$A$23)&amp;"/"&amp;COUNTIF($D$20:D32,D32))</f>
        <v>3/3</v>
      </c>
      <c r="C32" s="7" t="s">
        <v>104</v>
      </c>
      <c r="D32" s="8" t="s">
        <v>57</v>
      </c>
      <c r="E32" s="17">
        <v>8.98</v>
      </c>
      <c r="F32" s="32">
        <f t="shared" si="1"/>
        <v>511</v>
      </c>
      <c r="G32" s="9">
        <v>3</v>
      </c>
      <c r="H32" s="48">
        <v>3.3</v>
      </c>
      <c r="I32" s="32">
        <f t="shared" si="2"/>
        <v>335</v>
      </c>
      <c r="J32" s="18">
        <v>464</v>
      </c>
      <c r="K32" s="32">
        <f t="shared" si="3"/>
        <v>464</v>
      </c>
      <c r="L32" s="18"/>
      <c r="M32" s="32" t="str">
        <f t="shared" si="4"/>
        <v/>
      </c>
      <c r="N32" s="19"/>
      <c r="O32" s="32" t="str">
        <f t="shared" si="5"/>
        <v/>
      </c>
      <c r="P32" s="19">
        <v>32.700000000000003</v>
      </c>
      <c r="Q32" s="32">
        <f t="shared" si="6"/>
        <v>268</v>
      </c>
      <c r="R32" s="33">
        <f t="shared" si="7"/>
        <v>1578</v>
      </c>
      <c r="S32" s="34" t="str">
        <f t="shared" si="8"/>
        <v>22.</v>
      </c>
      <c r="V32" s="24">
        <f t="shared" si="9"/>
        <v>4</v>
      </c>
    </row>
    <row r="33" spans="1:22" x14ac:dyDescent="0.2">
      <c r="A33" s="24" t="str">
        <f>IF(C33="","",SUMIF('Číselník škol'!$B$14:$B$23,'D jednotlivci'!D33,'Číselník škol'!$A$14:$A$23)&amp;"/"&amp;COUNTIF($D$20:D33,D33))</f>
        <v>3/4</v>
      </c>
      <c r="C33" s="7" t="s">
        <v>105</v>
      </c>
      <c r="D33" s="8" t="s">
        <v>57</v>
      </c>
      <c r="E33" s="17">
        <v>9.27</v>
      </c>
      <c r="F33" s="32">
        <f t="shared" si="1"/>
        <v>442</v>
      </c>
      <c r="G33" s="9">
        <v>2</v>
      </c>
      <c r="H33" s="48">
        <v>55</v>
      </c>
      <c r="I33" s="32">
        <f t="shared" si="2"/>
        <v>413</v>
      </c>
      <c r="J33" s="18"/>
      <c r="K33" s="32" t="str">
        <f t="shared" si="3"/>
        <v/>
      </c>
      <c r="L33" s="18">
        <v>153</v>
      </c>
      <c r="M33" s="32">
        <f t="shared" si="4"/>
        <v>655</v>
      </c>
      <c r="N33" s="19">
        <v>7.63</v>
      </c>
      <c r="O33" s="32">
        <f t="shared" si="5"/>
        <v>375</v>
      </c>
      <c r="P33" s="19"/>
      <c r="Q33" s="32" t="str">
        <f t="shared" si="6"/>
        <v/>
      </c>
      <c r="R33" s="33">
        <f t="shared" si="7"/>
        <v>1885</v>
      </c>
      <c r="S33" s="34" t="str">
        <f t="shared" si="8"/>
        <v>4.</v>
      </c>
      <c r="V33" s="24">
        <f t="shared" si="9"/>
        <v>4</v>
      </c>
    </row>
    <row r="34" spans="1:22" x14ac:dyDescent="0.2">
      <c r="A34" s="24" t="str">
        <f>IF(C34="","",SUMIF('Číselník škol'!$B$14:$B$23,'D jednotlivci'!D34,'Číselník škol'!$A$14:$A$23)&amp;"/"&amp;COUNTIF($D$20:D34,D34))</f>
        <v>3/5</v>
      </c>
      <c r="C34" s="7" t="s">
        <v>106</v>
      </c>
      <c r="D34" s="8" t="s">
        <v>57</v>
      </c>
      <c r="E34" s="17">
        <v>9.34</v>
      </c>
      <c r="F34" s="32">
        <f t="shared" si="1"/>
        <v>426</v>
      </c>
      <c r="G34" s="9">
        <v>2</v>
      </c>
      <c r="H34" s="48">
        <v>55.3</v>
      </c>
      <c r="I34" s="32">
        <f t="shared" si="2"/>
        <v>410</v>
      </c>
      <c r="J34" s="18">
        <v>413</v>
      </c>
      <c r="K34" s="32">
        <f t="shared" si="3"/>
        <v>338</v>
      </c>
      <c r="L34" s="18"/>
      <c r="M34" s="32" t="str">
        <f t="shared" si="4"/>
        <v/>
      </c>
      <c r="N34" s="19"/>
      <c r="O34" s="32" t="str">
        <f t="shared" si="5"/>
        <v/>
      </c>
      <c r="P34" s="19">
        <v>41</v>
      </c>
      <c r="Q34" s="32">
        <f t="shared" si="6"/>
        <v>368</v>
      </c>
      <c r="R34" s="33">
        <f t="shared" si="7"/>
        <v>1542</v>
      </c>
      <c r="S34" s="34" t="str">
        <f t="shared" si="8"/>
        <v>25.</v>
      </c>
      <c r="V34" s="24">
        <f t="shared" si="9"/>
        <v>4</v>
      </c>
    </row>
    <row r="35" spans="1:22" x14ac:dyDescent="0.2">
      <c r="A35" s="24" t="str">
        <f>IF(C35="","",SUMIF('Číselník škol'!$B$14:$B$23,'D jednotlivci'!D35,'Číselník škol'!$A$14:$A$23)&amp;"/"&amp;COUNTIF($D$20:D35,D35))</f>
        <v/>
      </c>
      <c r="C35" s="7"/>
      <c r="D35" s="8"/>
      <c r="E35" s="17"/>
      <c r="F35" s="32" t="str">
        <f t="shared" si="1"/>
        <v/>
      </c>
      <c r="G35" s="9"/>
      <c r="H35" s="48"/>
      <c r="I35" s="32" t="str">
        <f t="shared" si="2"/>
        <v/>
      </c>
      <c r="J35" s="18"/>
      <c r="K35" s="32" t="str">
        <f t="shared" si="3"/>
        <v/>
      </c>
      <c r="L35" s="18"/>
      <c r="M35" s="32" t="str">
        <f t="shared" si="4"/>
        <v/>
      </c>
      <c r="N35" s="19"/>
      <c r="O35" s="32" t="str">
        <f t="shared" si="5"/>
        <v/>
      </c>
      <c r="P35" s="19"/>
      <c r="Q35" s="32" t="str">
        <f t="shared" si="6"/>
        <v/>
      </c>
      <c r="R35" s="33" t="str">
        <f t="shared" si="7"/>
        <v/>
      </c>
      <c r="S35" s="34" t="str">
        <f t="shared" si="8"/>
        <v/>
      </c>
      <c r="V35" s="24" t="str">
        <f t="shared" si="9"/>
        <v/>
      </c>
    </row>
    <row r="36" spans="1:22" x14ac:dyDescent="0.2">
      <c r="A36" s="24" t="str">
        <f>IF(C36="","",SUMIF('Číselník škol'!$B$14:$B$23,'D jednotlivci'!D36,'Číselník škol'!$A$14:$A$23)&amp;"/"&amp;COUNTIF($D$20:D36,D36))</f>
        <v>4/1</v>
      </c>
      <c r="C36" s="7" t="s">
        <v>107</v>
      </c>
      <c r="D36" s="8" t="s">
        <v>58</v>
      </c>
      <c r="E36" s="17">
        <v>8.73</v>
      </c>
      <c r="F36" s="32">
        <f t="shared" si="1"/>
        <v>574</v>
      </c>
      <c r="G36" s="9">
        <v>2</v>
      </c>
      <c r="H36" s="48">
        <v>52.5</v>
      </c>
      <c r="I36" s="32">
        <f t="shared" si="2"/>
        <v>438</v>
      </c>
      <c r="J36" s="18">
        <v>424</v>
      </c>
      <c r="K36" s="32">
        <f t="shared" si="3"/>
        <v>364</v>
      </c>
      <c r="L36" s="18"/>
      <c r="M36" s="32" t="str">
        <f t="shared" si="4"/>
        <v/>
      </c>
      <c r="N36" s="19">
        <v>6.64</v>
      </c>
      <c r="O36" s="32">
        <f t="shared" si="5"/>
        <v>312</v>
      </c>
      <c r="P36" s="19"/>
      <c r="Q36" s="32" t="str">
        <f t="shared" si="6"/>
        <v/>
      </c>
      <c r="R36" s="33">
        <f t="shared" si="7"/>
        <v>1688</v>
      </c>
      <c r="S36" s="34" t="str">
        <f t="shared" si="8"/>
        <v>13.</v>
      </c>
      <c r="V36" s="24">
        <f t="shared" si="9"/>
        <v>4</v>
      </c>
    </row>
    <row r="37" spans="1:22" x14ac:dyDescent="0.2">
      <c r="A37" s="24" t="str">
        <f>IF(C37="","",SUMIF('Číselník škol'!$B$14:$B$23,'D jednotlivci'!D37,'Číselník škol'!$A$14:$A$23)&amp;"/"&amp;COUNTIF($D$20:D37,D37))</f>
        <v>4/2</v>
      </c>
      <c r="C37" s="7" t="s">
        <v>108</v>
      </c>
      <c r="D37" s="8" t="s">
        <v>58</v>
      </c>
      <c r="E37" s="17">
        <v>9.65</v>
      </c>
      <c r="F37" s="32">
        <f t="shared" si="1"/>
        <v>359</v>
      </c>
      <c r="G37" s="9">
        <v>2</v>
      </c>
      <c r="H37" s="48">
        <v>52.8</v>
      </c>
      <c r="I37" s="32">
        <f t="shared" si="2"/>
        <v>435</v>
      </c>
      <c r="J37" s="18"/>
      <c r="K37" s="32" t="str">
        <f t="shared" si="3"/>
        <v/>
      </c>
      <c r="L37" s="18">
        <v>127</v>
      </c>
      <c r="M37" s="32">
        <f t="shared" si="4"/>
        <v>379</v>
      </c>
      <c r="N37" s="19"/>
      <c r="O37" s="32" t="str">
        <f t="shared" si="5"/>
        <v/>
      </c>
      <c r="P37" s="19">
        <v>27.6</v>
      </c>
      <c r="Q37" s="32">
        <f t="shared" si="6"/>
        <v>208</v>
      </c>
      <c r="R37" s="33">
        <f t="shared" si="7"/>
        <v>1381</v>
      </c>
      <c r="S37" s="34" t="str">
        <f t="shared" si="8"/>
        <v>32.</v>
      </c>
      <c r="V37" s="24">
        <f t="shared" si="9"/>
        <v>4</v>
      </c>
    </row>
    <row r="38" spans="1:22" x14ac:dyDescent="0.2">
      <c r="A38" s="24" t="str">
        <f>IF(C38="","",SUMIF('Číselník škol'!$B$14:$B$23,'D jednotlivci'!D38,'Číselník škol'!$A$14:$A$23)&amp;"/"&amp;COUNTIF($D$20:D38,D38))</f>
        <v>4/3</v>
      </c>
      <c r="C38" s="7" t="s">
        <v>109</v>
      </c>
      <c r="D38" s="8" t="s">
        <v>58</v>
      </c>
      <c r="E38" s="17">
        <v>8.33</v>
      </c>
      <c r="F38" s="32">
        <f t="shared" si="1"/>
        <v>681</v>
      </c>
      <c r="G38" s="9">
        <v>3</v>
      </c>
      <c r="H38" s="48">
        <v>0</v>
      </c>
      <c r="I38" s="32">
        <f t="shared" si="2"/>
        <v>365</v>
      </c>
      <c r="J38" s="18"/>
      <c r="K38" s="32" t="str">
        <f t="shared" si="3"/>
        <v/>
      </c>
      <c r="L38" s="18">
        <v>139</v>
      </c>
      <c r="M38" s="32">
        <f t="shared" si="4"/>
        <v>502</v>
      </c>
      <c r="N38" s="19">
        <v>8.3800000000000008</v>
      </c>
      <c r="O38" s="32">
        <f t="shared" si="5"/>
        <v>424</v>
      </c>
      <c r="P38" s="19"/>
      <c r="Q38" s="32" t="str">
        <f t="shared" si="6"/>
        <v/>
      </c>
      <c r="R38" s="33">
        <f t="shared" si="7"/>
        <v>1972</v>
      </c>
      <c r="S38" s="34" t="str">
        <f t="shared" si="8"/>
        <v>1.</v>
      </c>
      <c r="V38" s="24">
        <f t="shared" si="9"/>
        <v>4</v>
      </c>
    </row>
    <row r="39" spans="1:22" x14ac:dyDescent="0.2">
      <c r="A39" s="24" t="str">
        <f>IF(C39="","",SUMIF('Číselník škol'!$B$14:$B$23,'D jednotlivci'!D39,'Číselník škol'!$A$14:$A$23)&amp;"/"&amp;COUNTIF($D$20:D39,D39))</f>
        <v>4/4</v>
      </c>
      <c r="C39" s="7" t="s">
        <v>110</v>
      </c>
      <c r="D39" s="8" t="s">
        <v>58</v>
      </c>
      <c r="E39" s="17">
        <v>8.01</v>
      </c>
      <c r="F39" s="32">
        <f t="shared" si="1"/>
        <v>773</v>
      </c>
      <c r="G39" s="9">
        <v>3</v>
      </c>
      <c r="H39" s="48">
        <v>3.9</v>
      </c>
      <c r="I39" s="32">
        <f t="shared" si="2"/>
        <v>330</v>
      </c>
      <c r="J39" s="18">
        <v>425</v>
      </c>
      <c r="K39" s="32">
        <f t="shared" si="3"/>
        <v>367</v>
      </c>
      <c r="L39" s="18"/>
      <c r="M39" s="32" t="str">
        <f t="shared" si="4"/>
        <v/>
      </c>
      <c r="N39" s="19"/>
      <c r="O39" s="32" t="str">
        <f t="shared" si="5"/>
        <v/>
      </c>
      <c r="P39" s="19">
        <v>45.5</v>
      </c>
      <c r="Q39" s="32">
        <f t="shared" si="6"/>
        <v>424</v>
      </c>
      <c r="R39" s="33">
        <f t="shared" si="7"/>
        <v>1894</v>
      </c>
      <c r="S39" s="34" t="str">
        <f t="shared" si="8"/>
        <v>3.</v>
      </c>
      <c r="V39" s="24">
        <f t="shared" si="9"/>
        <v>4</v>
      </c>
    </row>
    <row r="40" spans="1:22" x14ac:dyDescent="0.2">
      <c r="A40" s="24" t="str">
        <f>IF(C40="","",SUMIF('Číselník škol'!$B$14:$B$23,'D jednotlivci'!D40,'Číselník škol'!$A$14:$A$23)&amp;"/"&amp;COUNTIF($D$20:D40,D40))</f>
        <v>5/1</v>
      </c>
      <c r="C40" s="7" t="s">
        <v>111</v>
      </c>
      <c r="D40" s="8" t="s">
        <v>61</v>
      </c>
      <c r="E40" s="17">
        <v>9.19</v>
      </c>
      <c r="F40" s="32">
        <f t="shared" si="1"/>
        <v>461</v>
      </c>
      <c r="G40" s="9">
        <v>2</v>
      </c>
      <c r="H40" s="48">
        <v>35.6</v>
      </c>
      <c r="I40" s="32">
        <f t="shared" si="2"/>
        <v>624</v>
      </c>
      <c r="J40" s="18">
        <v>424</v>
      </c>
      <c r="K40" s="32">
        <f t="shared" si="3"/>
        <v>364</v>
      </c>
      <c r="L40" s="18"/>
      <c r="M40" s="32" t="str">
        <f t="shared" si="4"/>
        <v/>
      </c>
      <c r="N40" s="19"/>
      <c r="O40" s="32" t="str">
        <f t="shared" si="5"/>
        <v/>
      </c>
      <c r="P40" s="19">
        <v>39.4</v>
      </c>
      <c r="Q40" s="32">
        <f t="shared" si="6"/>
        <v>348</v>
      </c>
      <c r="R40" s="33">
        <f t="shared" si="7"/>
        <v>1797</v>
      </c>
      <c r="S40" s="34" t="str">
        <f t="shared" si="8"/>
        <v>6.</v>
      </c>
      <c r="V40" s="24">
        <f t="shared" si="9"/>
        <v>4</v>
      </c>
    </row>
    <row r="41" spans="1:22" x14ac:dyDescent="0.2">
      <c r="A41" s="24" t="str">
        <f>IF(C41="","",SUMIF('Číselník škol'!$B$14:$B$23,'D jednotlivci'!D41,'Číselník škol'!$A$14:$A$23)&amp;"/"&amp;COUNTIF($D$20:D41,D41))</f>
        <v>5/2</v>
      </c>
      <c r="C41" s="7" t="s">
        <v>112</v>
      </c>
      <c r="D41" s="8" t="s">
        <v>61</v>
      </c>
      <c r="E41" s="17">
        <v>8.8000000000000007</v>
      </c>
      <c r="F41" s="32">
        <f t="shared" si="1"/>
        <v>556</v>
      </c>
      <c r="G41" s="9">
        <v>2</v>
      </c>
      <c r="H41" s="48">
        <v>58.2</v>
      </c>
      <c r="I41" s="32">
        <f t="shared" si="2"/>
        <v>382</v>
      </c>
      <c r="J41" s="18"/>
      <c r="K41" s="32" t="str">
        <f t="shared" si="3"/>
        <v/>
      </c>
      <c r="L41" s="18">
        <v>147</v>
      </c>
      <c r="M41" s="32">
        <f t="shared" si="4"/>
        <v>588</v>
      </c>
      <c r="N41" s="19">
        <v>7.16</v>
      </c>
      <c r="O41" s="32">
        <f t="shared" si="5"/>
        <v>345</v>
      </c>
      <c r="P41" s="19"/>
      <c r="Q41" s="32" t="str">
        <f t="shared" si="6"/>
        <v/>
      </c>
      <c r="R41" s="33">
        <f t="shared" si="7"/>
        <v>1871</v>
      </c>
      <c r="S41" s="34" t="str">
        <f t="shared" si="8"/>
        <v>5.</v>
      </c>
      <c r="V41" s="24">
        <f t="shared" si="9"/>
        <v>4</v>
      </c>
    </row>
    <row r="42" spans="1:22" x14ac:dyDescent="0.2">
      <c r="A42" s="24" t="str">
        <f>IF(C42="","",SUMIF('Číselník škol'!$B$14:$B$23,'D jednotlivci'!D42,'Číselník škol'!$A$14:$A$23)&amp;"/"&amp;COUNTIF($D$20:D42,D42))</f>
        <v>5/3</v>
      </c>
      <c r="C42" s="7" t="s">
        <v>113</v>
      </c>
      <c r="D42" s="8" t="s">
        <v>61</v>
      </c>
      <c r="E42" s="17">
        <v>9.82</v>
      </c>
      <c r="F42" s="32">
        <f t="shared" si="1"/>
        <v>324</v>
      </c>
      <c r="G42" s="9">
        <v>3</v>
      </c>
      <c r="H42" s="48">
        <v>1.7</v>
      </c>
      <c r="I42" s="32">
        <f t="shared" si="2"/>
        <v>350</v>
      </c>
      <c r="J42" s="18">
        <v>420</v>
      </c>
      <c r="K42" s="32">
        <f t="shared" si="3"/>
        <v>355</v>
      </c>
      <c r="L42" s="18"/>
      <c r="M42" s="32" t="str">
        <f t="shared" si="4"/>
        <v/>
      </c>
      <c r="N42" s="19"/>
      <c r="O42" s="32" t="str">
        <f t="shared" si="5"/>
        <v/>
      </c>
      <c r="P42" s="19">
        <v>36.24</v>
      </c>
      <c r="Q42" s="32">
        <f t="shared" si="6"/>
        <v>310</v>
      </c>
      <c r="R42" s="33">
        <f t="shared" si="7"/>
        <v>1339</v>
      </c>
      <c r="S42" s="34" t="str">
        <f t="shared" si="8"/>
        <v>35.</v>
      </c>
      <c r="V42" s="24">
        <f t="shared" si="9"/>
        <v>4</v>
      </c>
    </row>
    <row r="43" spans="1:22" x14ac:dyDescent="0.2">
      <c r="A43" s="24" t="str">
        <f>IF(C43="","",SUMIF('Číselník škol'!$B$14:$B$23,'D jednotlivci'!D43,'Číselník škol'!$A$14:$A$23)&amp;"/"&amp;COUNTIF($D$20:D43,D43))</f>
        <v>5/4</v>
      </c>
      <c r="C43" s="7" t="s">
        <v>114</v>
      </c>
      <c r="D43" s="8" t="s">
        <v>61</v>
      </c>
      <c r="E43" s="17">
        <v>9.92</v>
      </c>
      <c r="F43" s="32">
        <f t="shared" si="1"/>
        <v>304</v>
      </c>
      <c r="G43" s="9">
        <v>3</v>
      </c>
      <c r="H43" s="48">
        <v>12</v>
      </c>
      <c r="I43" s="32">
        <f t="shared" si="2"/>
        <v>262</v>
      </c>
      <c r="J43" s="18"/>
      <c r="K43" s="32" t="str">
        <f t="shared" si="3"/>
        <v/>
      </c>
      <c r="L43" s="18">
        <v>123</v>
      </c>
      <c r="M43" s="32">
        <f t="shared" si="4"/>
        <v>340</v>
      </c>
      <c r="N43" s="19">
        <v>6.38</v>
      </c>
      <c r="O43" s="32">
        <f t="shared" si="5"/>
        <v>295</v>
      </c>
      <c r="P43" s="19"/>
      <c r="Q43" s="32" t="str">
        <f t="shared" si="6"/>
        <v/>
      </c>
      <c r="R43" s="33">
        <f t="shared" si="7"/>
        <v>1201</v>
      </c>
      <c r="S43" s="34" t="str">
        <f t="shared" si="8"/>
        <v>39.</v>
      </c>
      <c r="V43" s="24">
        <f t="shared" si="9"/>
        <v>4</v>
      </c>
    </row>
    <row r="44" spans="1:22" x14ac:dyDescent="0.2">
      <c r="A44" s="24" t="str">
        <f>IF(C44="","",SUMIF('Číselník škol'!$B$14:$B$23,'D jednotlivci'!D44,'Číselník škol'!$A$14:$A$23)&amp;"/"&amp;COUNTIF($D$20:D44,D44))</f>
        <v/>
      </c>
      <c r="C44" s="7"/>
      <c r="D44" s="8"/>
      <c r="E44" s="17"/>
      <c r="F44" s="32" t="str">
        <f t="shared" si="1"/>
        <v/>
      </c>
      <c r="G44" s="9"/>
      <c r="H44" s="48"/>
      <c r="I44" s="32" t="str">
        <f t="shared" si="2"/>
        <v/>
      </c>
      <c r="J44" s="18"/>
      <c r="K44" s="32" t="str">
        <f t="shared" si="3"/>
        <v/>
      </c>
      <c r="L44" s="18"/>
      <c r="M44" s="32" t="str">
        <f t="shared" si="4"/>
        <v/>
      </c>
      <c r="N44" s="19"/>
      <c r="O44" s="32" t="str">
        <f t="shared" si="5"/>
        <v/>
      </c>
      <c r="P44" s="19"/>
      <c r="Q44" s="32" t="str">
        <f t="shared" si="6"/>
        <v/>
      </c>
      <c r="R44" s="33" t="str">
        <f t="shared" si="7"/>
        <v/>
      </c>
      <c r="S44" s="34" t="str">
        <f t="shared" si="8"/>
        <v/>
      </c>
      <c r="V44" s="24" t="str">
        <f t="shared" si="9"/>
        <v/>
      </c>
    </row>
    <row r="45" spans="1:22" x14ac:dyDescent="0.2">
      <c r="A45" s="24" t="str">
        <f>IF(C45="","",SUMIF('Číselník škol'!$B$14:$B$23,'D jednotlivci'!D45,'Číselník škol'!$A$14:$A$23)&amp;"/"&amp;COUNTIF($D$20:D45,D45))</f>
        <v>6/1</v>
      </c>
      <c r="C45" s="7" t="s">
        <v>115</v>
      </c>
      <c r="D45" s="8" t="s">
        <v>66</v>
      </c>
      <c r="E45" s="17">
        <v>10.72</v>
      </c>
      <c r="F45" s="32">
        <f t="shared" si="1"/>
        <v>167</v>
      </c>
      <c r="G45" s="9">
        <v>3</v>
      </c>
      <c r="H45" s="48">
        <v>1.8</v>
      </c>
      <c r="I45" s="32">
        <f t="shared" si="2"/>
        <v>349</v>
      </c>
      <c r="J45" s="18">
        <v>384</v>
      </c>
      <c r="K45" s="32">
        <f t="shared" si="3"/>
        <v>272</v>
      </c>
      <c r="L45" s="18"/>
      <c r="M45" s="32" t="str">
        <f t="shared" si="4"/>
        <v/>
      </c>
      <c r="N45" s="19">
        <v>6.55</v>
      </c>
      <c r="O45" s="32">
        <f t="shared" si="5"/>
        <v>306</v>
      </c>
      <c r="P45" s="19"/>
      <c r="Q45" s="32" t="str">
        <f t="shared" si="6"/>
        <v/>
      </c>
      <c r="R45" s="33">
        <f t="shared" si="7"/>
        <v>1094</v>
      </c>
      <c r="S45" s="34" t="str">
        <f t="shared" si="8"/>
        <v>44.</v>
      </c>
      <c r="V45" s="24">
        <f t="shared" si="9"/>
        <v>4</v>
      </c>
    </row>
    <row r="46" spans="1:22" x14ac:dyDescent="0.2">
      <c r="A46" s="24" t="str">
        <f>IF(C46="","",SUMIF('Číselník škol'!$B$14:$B$23,'D jednotlivci'!D46,'Číselník škol'!$A$14:$A$23)&amp;"/"&amp;COUNTIF($D$20:D46,D46))</f>
        <v>6/2</v>
      </c>
      <c r="C46" s="7" t="s">
        <v>116</v>
      </c>
      <c r="D46" s="8" t="s">
        <v>66</v>
      </c>
      <c r="E46" s="17">
        <v>9.1199999999999992</v>
      </c>
      <c r="F46" s="32">
        <f t="shared" si="1"/>
        <v>477</v>
      </c>
      <c r="G46" s="9">
        <v>3</v>
      </c>
      <c r="H46" s="48">
        <v>7</v>
      </c>
      <c r="I46" s="32">
        <f t="shared" si="2"/>
        <v>303</v>
      </c>
      <c r="J46" s="18"/>
      <c r="K46" s="32" t="str">
        <f t="shared" si="3"/>
        <v/>
      </c>
      <c r="L46" s="18">
        <v>135</v>
      </c>
      <c r="M46" s="32">
        <f t="shared" si="4"/>
        <v>460</v>
      </c>
      <c r="N46" s="19">
        <v>7.14</v>
      </c>
      <c r="O46" s="32">
        <f t="shared" si="5"/>
        <v>344</v>
      </c>
      <c r="P46" s="19"/>
      <c r="Q46" s="32" t="str">
        <f t="shared" si="6"/>
        <v/>
      </c>
      <c r="R46" s="33">
        <f t="shared" si="7"/>
        <v>1584</v>
      </c>
      <c r="S46" s="34" t="str">
        <f t="shared" si="8"/>
        <v>20.</v>
      </c>
      <c r="V46" s="24">
        <f t="shared" si="9"/>
        <v>4</v>
      </c>
    </row>
    <row r="47" spans="1:22" x14ac:dyDescent="0.2">
      <c r="A47" s="24" t="str">
        <f>IF(C47="","",SUMIF('Číselník škol'!$B$14:$B$23,'D jednotlivci'!D47,'Číselník škol'!$A$14:$A$23)&amp;"/"&amp;COUNTIF($D$20:D47,D47))</f>
        <v>6/3</v>
      </c>
      <c r="C47" s="7" t="s">
        <v>117</v>
      </c>
      <c r="D47" s="8" t="s">
        <v>66</v>
      </c>
      <c r="E47" s="17">
        <v>8.8000000000000007</v>
      </c>
      <c r="F47" s="32">
        <f t="shared" si="1"/>
        <v>556</v>
      </c>
      <c r="G47" s="9">
        <v>3</v>
      </c>
      <c r="H47" s="48">
        <v>5</v>
      </c>
      <c r="I47" s="32">
        <f t="shared" si="2"/>
        <v>320</v>
      </c>
      <c r="J47" s="18">
        <v>412</v>
      </c>
      <c r="K47" s="32">
        <f t="shared" si="3"/>
        <v>336</v>
      </c>
      <c r="L47" s="18"/>
      <c r="M47" s="32" t="str">
        <f t="shared" si="4"/>
        <v/>
      </c>
      <c r="N47" s="19"/>
      <c r="O47" s="32" t="str">
        <f t="shared" si="5"/>
        <v/>
      </c>
      <c r="P47" s="19">
        <v>28.9</v>
      </c>
      <c r="Q47" s="32">
        <f t="shared" si="6"/>
        <v>223</v>
      </c>
      <c r="R47" s="33">
        <f t="shared" si="7"/>
        <v>1435</v>
      </c>
      <c r="S47" s="34" t="str">
        <f t="shared" si="8"/>
        <v>28.</v>
      </c>
      <c r="V47" s="24">
        <f t="shared" si="9"/>
        <v>4</v>
      </c>
    </row>
    <row r="48" spans="1:22" x14ac:dyDescent="0.2">
      <c r="A48" s="24" t="str">
        <f>IF(C48="","",SUMIF('Číselník škol'!$B$14:$B$23,'D jednotlivci'!D48,'Číselník škol'!$A$14:$A$23)&amp;"/"&amp;COUNTIF($D$20:D48,D48))</f>
        <v>6/4</v>
      </c>
      <c r="C48" s="7" t="s">
        <v>118</v>
      </c>
      <c r="D48" s="8" t="s">
        <v>66</v>
      </c>
      <c r="E48" s="17">
        <v>10.09</v>
      </c>
      <c r="F48" s="32">
        <f t="shared" si="1"/>
        <v>272</v>
      </c>
      <c r="G48" s="9">
        <v>3</v>
      </c>
      <c r="H48" s="48">
        <v>38.700000000000003</v>
      </c>
      <c r="I48" s="32">
        <f t="shared" si="2"/>
        <v>90</v>
      </c>
      <c r="J48" s="18"/>
      <c r="K48" s="32" t="str">
        <f t="shared" si="3"/>
        <v/>
      </c>
      <c r="L48" s="18">
        <v>135</v>
      </c>
      <c r="M48" s="32">
        <f t="shared" si="4"/>
        <v>460</v>
      </c>
      <c r="N48" s="19"/>
      <c r="O48" s="32" t="str">
        <f t="shared" si="5"/>
        <v/>
      </c>
      <c r="P48" s="19">
        <v>25.9</v>
      </c>
      <c r="Q48" s="32">
        <f t="shared" si="6"/>
        <v>188</v>
      </c>
      <c r="R48" s="33">
        <f t="shared" si="7"/>
        <v>1010</v>
      </c>
      <c r="S48" s="34" t="str">
        <f t="shared" si="8"/>
        <v>46.</v>
      </c>
      <c r="V48" s="24">
        <f t="shared" si="9"/>
        <v>4</v>
      </c>
    </row>
    <row r="49" spans="1:22" x14ac:dyDescent="0.2">
      <c r="A49" s="24" t="str">
        <f>IF(C49="","",SUMIF('Číselník škol'!$B$14:$B$23,'D jednotlivci'!D49,'Číselník škol'!$A$14:$A$23)&amp;"/"&amp;COUNTIF($D$20:D49,D49))</f>
        <v>6/5</v>
      </c>
      <c r="C49" s="7" t="s">
        <v>119</v>
      </c>
      <c r="D49" s="8" t="s">
        <v>66</v>
      </c>
      <c r="E49" s="17">
        <v>9.81</v>
      </c>
      <c r="F49" s="32">
        <f t="shared" si="1"/>
        <v>326</v>
      </c>
      <c r="G49" s="9">
        <v>3</v>
      </c>
      <c r="H49" s="48">
        <v>43.3</v>
      </c>
      <c r="I49" s="32">
        <f t="shared" si="2"/>
        <v>69</v>
      </c>
      <c r="J49" s="18">
        <v>341</v>
      </c>
      <c r="K49" s="32">
        <f t="shared" si="3"/>
        <v>182</v>
      </c>
      <c r="L49" s="18"/>
      <c r="M49" s="32" t="str">
        <f t="shared" si="4"/>
        <v/>
      </c>
      <c r="N49" s="19">
        <v>6.27</v>
      </c>
      <c r="O49" s="32">
        <f t="shared" si="5"/>
        <v>288</v>
      </c>
      <c r="P49" s="19"/>
      <c r="Q49" s="32" t="str">
        <f t="shared" si="6"/>
        <v/>
      </c>
      <c r="R49" s="33">
        <f t="shared" si="7"/>
        <v>865</v>
      </c>
      <c r="S49" s="34" t="str">
        <f t="shared" si="8"/>
        <v>48.</v>
      </c>
      <c r="V49" s="24">
        <f t="shared" si="9"/>
        <v>4</v>
      </c>
    </row>
    <row r="50" spans="1:22" x14ac:dyDescent="0.2">
      <c r="A50" s="24" t="str">
        <f>IF(C50="","",SUMIF('Číselník škol'!$B$14:$B$23,'D jednotlivci'!D50,'Číselník škol'!$A$14:$A$23)&amp;"/"&amp;COUNTIF($D$20:D50,D50))</f>
        <v>7/1</v>
      </c>
      <c r="C50" s="7" t="s">
        <v>120</v>
      </c>
      <c r="D50" s="8" t="s">
        <v>62</v>
      </c>
      <c r="E50" s="17">
        <v>9.6999999999999993</v>
      </c>
      <c r="F50" s="32">
        <f t="shared" si="1"/>
        <v>348</v>
      </c>
      <c r="G50" s="9">
        <v>2</v>
      </c>
      <c r="H50" s="48">
        <v>49.4</v>
      </c>
      <c r="I50" s="32">
        <f t="shared" si="2"/>
        <v>470</v>
      </c>
      <c r="J50" s="18"/>
      <c r="K50" s="32" t="str">
        <f t="shared" si="3"/>
        <v/>
      </c>
      <c r="L50" s="18">
        <v>123</v>
      </c>
      <c r="M50" s="32">
        <f t="shared" si="4"/>
        <v>340</v>
      </c>
      <c r="N50" s="19">
        <v>7.98</v>
      </c>
      <c r="O50" s="32">
        <f t="shared" si="5"/>
        <v>398</v>
      </c>
      <c r="P50" s="19"/>
      <c r="Q50" s="32" t="str">
        <f t="shared" si="6"/>
        <v/>
      </c>
      <c r="R50" s="33">
        <f t="shared" si="7"/>
        <v>1556</v>
      </c>
      <c r="S50" s="34" t="str">
        <f t="shared" si="8"/>
        <v>24.</v>
      </c>
      <c r="V50" s="24">
        <f t="shared" si="9"/>
        <v>4</v>
      </c>
    </row>
    <row r="51" spans="1:22" x14ac:dyDescent="0.2">
      <c r="A51" s="24" t="str">
        <f>IF(C51="","",SUMIF('Číselník škol'!$B$14:$B$23,'D jednotlivci'!D51,'Číselník škol'!$A$14:$A$23)&amp;"/"&amp;COUNTIF($D$20:D51,D51))</f>
        <v>7/2</v>
      </c>
      <c r="C51" s="7" t="s">
        <v>121</v>
      </c>
      <c r="D51" s="8" t="s">
        <v>62</v>
      </c>
      <c r="E51" s="17">
        <v>8.6999999999999993</v>
      </c>
      <c r="F51" s="32">
        <f t="shared" si="1"/>
        <v>582</v>
      </c>
      <c r="G51" s="9">
        <v>3</v>
      </c>
      <c r="H51" s="48">
        <v>0.5</v>
      </c>
      <c r="I51" s="32">
        <f t="shared" si="2"/>
        <v>361</v>
      </c>
      <c r="J51" s="18">
        <v>404</v>
      </c>
      <c r="K51" s="32">
        <f t="shared" si="3"/>
        <v>317</v>
      </c>
      <c r="L51" s="18"/>
      <c r="M51" s="32" t="str">
        <f t="shared" si="4"/>
        <v/>
      </c>
      <c r="N51" s="19"/>
      <c r="O51" s="32" t="str">
        <f t="shared" si="5"/>
        <v/>
      </c>
      <c r="P51" s="19">
        <v>36</v>
      </c>
      <c r="Q51" s="32">
        <f t="shared" si="6"/>
        <v>307</v>
      </c>
      <c r="R51" s="33">
        <f t="shared" si="7"/>
        <v>1567</v>
      </c>
      <c r="S51" s="34" t="str">
        <f t="shared" si="8"/>
        <v>23.</v>
      </c>
      <c r="V51" s="24">
        <f t="shared" si="9"/>
        <v>4</v>
      </c>
    </row>
    <row r="52" spans="1:22" x14ac:dyDescent="0.2">
      <c r="A52" s="24" t="str">
        <f>IF(C52="","",SUMIF('Číselník škol'!$B$14:$B$23,'D jednotlivci'!D52,'Číselník škol'!$A$14:$A$23)&amp;"/"&amp;COUNTIF($D$20:D52,D52))</f>
        <v>7/3</v>
      </c>
      <c r="C52" s="7" t="s">
        <v>144</v>
      </c>
      <c r="D52" s="8" t="s">
        <v>62</v>
      </c>
      <c r="E52" s="17">
        <v>10.72</v>
      </c>
      <c r="F52" s="32">
        <f t="shared" si="1"/>
        <v>167</v>
      </c>
      <c r="G52" s="9">
        <v>3</v>
      </c>
      <c r="H52" s="48">
        <v>40.6</v>
      </c>
      <c r="I52" s="32">
        <f t="shared" si="2"/>
        <v>81</v>
      </c>
      <c r="J52" s="18"/>
      <c r="K52" s="32" t="str">
        <f t="shared" si="3"/>
        <v/>
      </c>
      <c r="L52" s="18">
        <v>123</v>
      </c>
      <c r="M52" s="32">
        <f t="shared" si="4"/>
        <v>340</v>
      </c>
      <c r="N52" s="19"/>
      <c r="O52" s="32" t="str">
        <f t="shared" si="5"/>
        <v/>
      </c>
      <c r="P52" s="19">
        <v>39.1</v>
      </c>
      <c r="Q52" s="32">
        <f t="shared" si="6"/>
        <v>345</v>
      </c>
      <c r="R52" s="33">
        <f t="shared" si="7"/>
        <v>933</v>
      </c>
      <c r="S52" s="34" t="str">
        <f t="shared" si="8"/>
        <v>47.</v>
      </c>
      <c r="V52" s="24">
        <f t="shared" si="9"/>
        <v>4</v>
      </c>
    </row>
    <row r="53" spans="1:22" x14ac:dyDescent="0.2">
      <c r="A53" s="24" t="str">
        <f>IF(C53="","",SUMIF('Číselník škol'!$B$14:$B$23,'D jednotlivci'!D53,'Číselník škol'!$A$14:$A$23)&amp;"/"&amp;COUNTIF($D$20:D53,D53))</f>
        <v>7/4</v>
      </c>
      <c r="C53" s="7" t="s">
        <v>150</v>
      </c>
      <c r="D53" s="8" t="s">
        <v>62</v>
      </c>
      <c r="E53" s="17">
        <v>9.31</v>
      </c>
      <c r="F53" s="32">
        <f t="shared" si="1"/>
        <v>433</v>
      </c>
      <c r="G53" s="9">
        <v>3</v>
      </c>
      <c r="H53" s="48">
        <v>7.1</v>
      </c>
      <c r="I53" s="32">
        <f t="shared" si="2"/>
        <v>302</v>
      </c>
      <c r="J53" s="18"/>
      <c r="K53" s="32" t="str">
        <f t="shared" si="3"/>
        <v/>
      </c>
      <c r="L53" s="18"/>
      <c r="M53" s="32" t="str">
        <f t="shared" si="4"/>
        <v/>
      </c>
      <c r="N53" s="19">
        <v>6.93</v>
      </c>
      <c r="O53" s="32">
        <f t="shared" si="5"/>
        <v>331</v>
      </c>
      <c r="P53" s="19"/>
      <c r="Q53" s="32" t="str">
        <f t="shared" si="6"/>
        <v/>
      </c>
      <c r="R53" s="33">
        <f t="shared" si="7"/>
        <v>1066</v>
      </c>
      <c r="S53" s="34" t="str">
        <f t="shared" si="8"/>
        <v>45.</v>
      </c>
      <c r="V53" s="24">
        <f t="shared" si="9"/>
        <v>3</v>
      </c>
    </row>
    <row r="54" spans="1:22" x14ac:dyDescent="0.2">
      <c r="A54" s="24" t="str">
        <f>IF(C54="","",SUMIF('Číselník škol'!$B$14:$B$23,'D jednotlivci'!D54,'Číselník škol'!$A$14:$A$23)&amp;"/"&amp;COUNTIF($D$20:D54,D54))</f>
        <v>7/5</v>
      </c>
      <c r="C54" s="7" t="s">
        <v>122</v>
      </c>
      <c r="D54" s="8" t="s">
        <v>62</v>
      </c>
      <c r="E54" s="17">
        <v>9.42</v>
      </c>
      <c r="F54" s="32">
        <f t="shared" si="1"/>
        <v>408</v>
      </c>
      <c r="G54" s="9">
        <v>3</v>
      </c>
      <c r="H54" s="48">
        <v>10.4</v>
      </c>
      <c r="I54" s="32">
        <f t="shared" si="2"/>
        <v>275</v>
      </c>
      <c r="J54" s="18">
        <v>395</v>
      </c>
      <c r="K54" s="32">
        <f t="shared" si="3"/>
        <v>296</v>
      </c>
      <c r="L54" s="18"/>
      <c r="M54" s="32" t="str">
        <f t="shared" si="4"/>
        <v/>
      </c>
      <c r="N54" s="19"/>
      <c r="O54" s="32" t="str">
        <f t="shared" si="5"/>
        <v/>
      </c>
      <c r="P54" s="19">
        <v>23.5</v>
      </c>
      <c r="Q54" s="32">
        <f t="shared" si="6"/>
        <v>160</v>
      </c>
      <c r="R54" s="33">
        <f t="shared" si="7"/>
        <v>1139</v>
      </c>
      <c r="S54" s="34" t="str">
        <f t="shared" si="8"/>
        <v>42.</v>
      </c>
      <c r="V54" s="24">
        <f t="shared" si="9"/>
        <v>4</v>
      </c>
    </row>
    <row r="55" spans="1:22" x14ac:dyDescent="0.2">
      <c r="A55" s="24" t="str">
        <f>IF(C55="","",SUMIF('Číselník škol'!$B$14:$B$23,'D jednotlivci'!D55,'Číselník škol'!$A$14:$A$23)&amp;"/"&amp;COUNTIF($D$20:D55,D55))</f>
        <v>8/1</v>
      </c>
      <c r="C55" s="7" t="s">
        <v>123</v>
      </c>
      <c r="D55" s="8" t="s">
        <v>69</v>
      </c>
      <c r="E55" s="17">
        <v>9.26</v>
      </c>
      <c r="F55" s="32">
        <f t="shared" si="1"/>
        <v>444</v>
      </c>
      <c r="G55" s="9">
        <v>3</v>
      </c>
      <c r="H55" s="48">
        <v>5.2</v>
      </c>
      <c r="I55" s="32">
        <f t="shared" si="2"/>
        <v>318</v>
      </c>
      <c r="J55" s="18"/>
      <c r="K55" s="32" t="str">
        <f t="shared" si="3"/>
        <v/>
      </c>
      <c r="L55" s="18">
        <v>139</v>
      </c>
      <c r="M55" s="32">
        <f t="shared" si="4"/>
        <v>502</v>
      </c>
      <c r="N55" s="19"/>
      <c r="O55" s="32" t="str">
        <f t="shared" si="5"/>
        <v/>
      </c>
      <c r="P55" s="19">
        <v>32.950000000000003</v>
      </c>
      <c r="Q55" s="32">
        <f t="shared" si="6"/>
        <v>271</v>
      </c>
      <c r="R55" s="33">
        <f t="shared" si="7"/>
        <v>1535</v>
      </c>
      <c r="S55" s="34" t="str">
        <f t="shared" si="8"/>
        <v>26.</v>
      </c>
      <c r="V55" s="24">
        <f t="shared" si="9"/>
        <v>4</v>
      </c>
    </row>
    <row r="56" spans="1:22" x14ac:dyDescent="0.2">
      <c r="A56" s="24" t="str">
        <f>IF(C56="","",SUMIF('Číselník škol'!$B$14:$B$23,'D jednotlivci'!D56,'Číselník škol'!$A$14:$A$23)&amp;"/"&amp;COUNTIF($D$20:D56,D56))</f>
        <v>8/2</v>
      </c>
      <c r="C56" s="7" t="s">
        <v>124</v>
      </c>
      <c r="D56" s="8" t="s">
        <v>69</v>
      </c>
      <c r="E56" s="17">
        <v>8.77</v>
      </c>
      <c r="F56" s="32">
        <f t="shared" si="1"/>
        <v>564</v>
      </c>
      <c r="G56" s="9">
        <v>3</v>
      </c>
      <c r="H56" s="48">
        <v>6.6</v>
      </c>
      <c r="I56" s="32">
        <f t="shared" si="2"/>
        <v>306</v>
      </c>
      <c r="J56" s="18">
        <v>394</v>
      </c>
      <c r="K56" s="32">
        <f t="shared" si="3"/>
        <v>294</v>
      </c>
      <c r="L56" s="18"/>
      <c r="M56" s="32" t="str">
        <f t="shared" si="4"/>
        <v/>
      </c>
      <c r="N56" s="19"/>
      <c r="O56" s="32" t="str">
        <f t="shared" si="5"/>
        <v/>
      </c>
      <c r="P56" s="19">
        <v>29.9</v>
      </c>
      <c r="Q56" s="32">
        <f t="shared" si="6"/>
        <v>234</v>
      </c>
      <c r="R56" s="33">
        <f t="shared" si="7"/>
        <v>1398</v>
      </c>
      <c r="S56" s="34" t="str">
        <f t="shared" si="8"/>
        <v>31.</v>
      </c>
      <c r="V56" s="24">
        <f t="shared" si="9"/>
        <v>4</v>
      </c>
    </row>
    <row r="57" spans="1:22" x14ac:dyDescent="0.2">
      <c r="A57" s="24" t="str">
        <f>IF(C57="","",SUMIF('Číselník škol'!$B$14:$B$23,'D jednotlivci'!D57,'Číselník škol'!$A$14:$A$23)&amp;"/"&amp;COUNTIF($D$20:D57,D57))</f>
        <v>8/3</v>
      </c>
      <c r="C57" s="7" t="s">
        <v>145</v>
      </c>
      <c r="D57" s="8" t="s">
        <v>69</v>
      </c>
      <c r="E57" s="17">
        <v>9.1300000000000008</v>
      </c>
      <c r="F57" s="32">
        <f t="shared" si="1"/>
        <v>475</v>
      </c>
      <c r="G57" s="9">
        <v>3</v>
      </c>
      <c r="H57" s="48">
        <v>9</v>
      </c>
      <c r="I57" s="32">
        <f t="shared" si="2"/>
        <v>286</v>
      </c>
      <c r="J57" s="18">
        <v>375</v>
      </c>
      <c r="K57" s="32">
        <f t="shared" si="3"/>
        <v>252</v>
      </c>
      <c r="L57" s="18"/>
      <c r="M57" s="32" t="str">
        <f t="shared" si="4"/>
        <v/>
      </c>
      <c r="N57" s="19">
        <v>5.73</v>
      </c>
      <c r="O57" s="32">
        <f t="shared" si="5"/>
        <v>254</v>
      </c>
      <c r="P57" s="19"/>
      <c r="Q57" s="32" t="str">
        <f t="shared" si="6"/>
        <v/>
      </c>
      <c r="R57" s="33">
        <f t="shared" si="7"/>
        <v>1267</v>
      </c>
      <c r="S57" s="34" t="str">
        <f t="shared" si="8"/>
        <v>38.</v>
      </c>
      <c r="V57" s="24">
        <f t="shared" si="9"/>
        <v>4</v>
      </c>
    </row>
    <row r="58" spans="1:22" x14ac:dyDescent="0.2">
      <c r="A58" s="24" t="str">
        <f>IF(C58="","",SUMIF('Číselník škol'!$B$14:$B$23,'D jednotlivci'!D58,'Číselník škol'!$A$14:$A$23)&amp;"/"&amp;COUNTIF($D$20:D58,D58))</f>
        <v>8/4</v>
      </c>
      <c r="C58" s="7" t="s">
        <v>125</v>
      </c>
      <c r="D58" s="8" t="s">
        <v>69</v>
      </c>
      <c r="E58" s="17">
        <v>9.2100000000000009</v>
      </c>
      <c r="F58" s="32">
        <f t="shared" si="1"/>
        <v>456</v>
      </c>
      <c r="G58" s="9">
        <v>2</v>
      </c>
      <c r="H58" s="48">
        <v>50.4</v>
      </c>
      <c r="I58" s="32">
        <f t="shared" si="2"/>
        <v>459</v>
      </c>
      <c r="J58" s="18">
        <v>426</v>
      </c>
      <c r="K58" s="32">
        <f t="shared" si="3"/>
        <v>369</v>
      </c>
      <c r="L58" s="18"/>
      <c r="M58" s="32" t="str">
        <f t="shared" si="4"/>
        <v/>
      </c>
      <c r="N58" s="19">
        <v>6.49</v>
      </c>
      <c r="O58" s="32">
        <f t="shared" si="5"/>
        <v>302</v>
      </c>
      <c r="P58" s="19"/>
      <c r="Q58" s="32" t="str">
        <f t="shared" si="6"/>
        <v/>
      </c>
      <c r="R58" s="33">
        <f t="shared" si="7"/>
        <v>1586</v>
      </c>
      <c r="S58" s="34" t="str">
        <f t="shared" si="8"/>
        <v>19.</v>
      </c>
      <c r="V58" s="24">
        <f t="shared" si="9"/>
        <v>4</v>
      </c>
    </row>
    <row r="59" spans="1:22" x14ac:dyDescent="0.2">
      <c r="A59" s="24" t="str">
        <f>IF(C59="","",SUMIF('Číselník škol'!$B$14:$B$23,'D jednotlivci'!D59,'Číselník škol'!$A$14:$A$23)&amp;"/"&amp;COUNTIF($D$20:D59,D59))</f>
        <v>8/5</v>
      </c>
      <c r="C59" s="7" t="s">
        <v>126</v>
      </c>
      <c r="D59" s="8" t="s">
        <v>69</v>
      </c>
      <c r="E59" s="17">
        <v>9.1</v>
      </c>
      <c r="F59" s="32">
        <f t="shared" si="1"/>
        <v>482</v>
      </c>
      <c r="G59" s="9">
        <v>3</v>
      </c>
      <c r="H59" s="48">
        <v>35.9</v>
      </c>
      <c r="I59" s="32">
        <f t="shared" si="2"/>
        <v>104</v>
      </c>
      <c r="J59" s="18"/>
      <c r="K59" s="32" t="str">
        <f t="shared" si="3"/>
        <v/>
      </c>
      <c r="L59" s="18">
        <v>115</v>
      </c>
      <c r="M59" s="32">
        <f t="shared" si="4"/>
        <v>266</v>
      </c>
      <c r="N59" s="19"/>
      <c r="O59" s="32" t="str">
        <f t="shared" si="5"/>
        <v/>
      </c>
      <c r="P59" s="19">
        <v>34.4</v>
      </c>
      <c r="Q59" s="32">
        <f t="shared" si="6"/>
        <v>288</v>
      </c>
      <c r="R59" s="33">
        <f t="shared" si="7"/>
        <v>1140</v>
      </c>
      <c r="S59" s="34" t="str">
        <f t="shared" si="8"/>
        <v>41.</v>
      </c>
      <c r="V59" s="24">
        <f t="shared" si="9"/>
        <v>4</v>
      </c>
    </row>
    <row r="60" spans="1:22" x14ac:dyDescent="0.2">
      <c r="A60" s="24" t="str">
        <f>IF(C60="","",SUMIF('Číselník škol'!$B$14:$B$23,'D jednotlivci'!D60,'Číselník škol'!$A$14:$A$23)&amp;"/"&amp;COUNTIF($D$20:D60,D60))</f>
        <v>9/1</v>
      </c>
      <c r="C60" s="7" t="s">
        <v>128</v>
      </c>
      <c r="D60" s="8" t="s">
        <v>127</v>
      </c>
      <c r="E60" s="17">
        <v>9.65</v>
      </c>
      <c r="F60" s="32">
        <f t="shared" si="1"/>
        <v>359</v>
      </c>
      <c r="G60" s="9">
        <v>3</v>
      </c>
      <c r="H60" s="48">
        <v>11.7</v>
      </c>
      <c r="I60" s="32">
        <f t="shared" si="2"/>
        <v>264</v>
      </c>
      <c r="J60" s="18">
        <v>416</v>
      </c>
      <c r="K60" s="32">
        <f t="shared" si="3"/>
        <v>345</v>
      </c>
      <c r="L60" s="18"/>
      <c r="M60" s="32" t="str">
        <f t="shared" si="4"/>
        <v/>
      </c>
      <c r="N60" s="19"/>
      <c r="O60" s="32" t="str">
        <f t="shared" si="5"/>
        <v/>
      </c>
      <c r="P60" s="19">
        <v>47.05</v>
      </c>
      <c r="Q60" s="32">
        <f t="shared" si="6"/>
        <v>443</v>
      </c>
      <c r="R60" s="33">
        <f t="shared" si="7"/>
        <v>1411</v>
      </c>
      <c r="S60" s="34" t="str">
        <f t="shared" si="8"/>
        <v>30.</v>
      </c>
      <c r="V60" s="24">
        <f t="shared" si="9"/>
        <v>4</v>
      </c>
    </row>
    <row r="61" spans="1:22" x14ac:dyDescent="0.2">
      <c r="A61" s="24" t="str">
        <f>IF(C61="","",SUMIF('Číselník škol'!$B$14:$B$23,'D jednotlivci'!D61,'Číselník škol'!$A$14:$A$23)&amp;"/"&amp;COUNTIF($D$20:D61,D61))</f>
        <v>9/2</v>
      </c>
      <c r="C61" s="7" t="s">
        <v>129</v>
      </c>
      <c r="D61" s="8" t="s">
        <v>127</v>
      </c>
      <c r="E61" s="17">
        <v>9.4499999999999993</v>
      </c>
      <c r="F61" s="32">
        <f t="shared" si="1"/>
        <v>402</v>
      </c>
      <c r="G61" s="9">
        <v>3</v>
      </c>
      <c r="H61" s="48">
        <v>4.4000000000000004</v>
      </c>
      <c r="I61" s="32">
        <f t="shared" si="2"/>
        <v>325</v>
      </c>
      <c r="J61" s="18">
        <v>369</v>
      </c>
      <c r="K61" s="32">
        <f t="shared" si="3"/>
        <v>239</v>
      </c>
      <c r="L61" s="18"/>
      <c r="M61" s="32" t="str">
        <f t="shared" si="4"/>
        <v/>
      </c>
      <c r="N61" s="19">
        <v>6.61</v>
      </c>
      <c r="O61" s="32">
        <f t="shared" si="5"/>
        <v>310</v>
      </c>
      <c r="P61" s="19"/>
      <c r="Q61" s="32" t="str">
        <f t="shared" si="6"/>
        <v/>
      </c>
      <c r="R61" s="33">
        <f t="shared" si="7"/>
        <v>1276</v>
      </c>
      <c r="S61" s="34" t="str">
        <f t="shared" si="8"/>
        <v>37.</v>
      </c>
      <c r="V61" s="24">
        <f t="shared" si="9"/>
        <v>4</v>
      </c>
    </row>
    <row r="62" spans="1:22" x14ac:dyDescent="0.2">
      <c r="A62" s="24" t="str">
        <f>IF(C62="","",SUMIF('Číselník škol'!$B$14:$B$23,'D jednotlivci'!D62,'Číselník škol'!$A$14:$A$23)&amp;"/"&amp;COUNTIF($D$20:D62,D62))</f>
        <v>9/3</v>
      </c>
      <c r="C62" s="7" t="s">
        <v>130</v>
      </c>
      <c r="D62" s="8" t="s">
        <v>127</v>
      </c>
      <c r="E62" s="17">
        <v>8.81</v>
      </c>
      <c r="F62" s="32">
        <f t="shared" si="1"/>
        <v>553</v>
      </c>
      <c r="G62" s="9">
        <v>2</v>
      </c>
      <c r="H62" s="48">
        <v>49.2</v>
      </c>
      <c r="I62" s="32">
        <f t="shared" si="2"/>
        <v>472</v>
      </c>
      <c r="J62" s="18"/>
      <c r="K62" s="32" t="str">
        <f t="shared" si="3"/>
        <v/>
      </c>
      <c r="L62" s="18">
        <v>127</v>
      </c>
      <c r="M62" s="32">
        <f t="shared" si="4"/>
        <v>379</v>
      </c>
      <c r="N62" s="19">
        <v>6.96</v>
      </c>
      <c r="O62" s="32">
        <f t="shared" si="5"/>
        <v>332</v>
      </c>
      <c r="P62" s="19"/>
      <c r="Q62" s="32" t="str">
        <f t="shared" si="6"/>
        <v/>
      </c>
      <c r="R62" s="33">
        <f t="shared" si="7"/>
        <v>1736</v>
      </c>
      <c r="S62" s="34" t="str">
        <f t="shared" si="8"/>
        <v>11.</v>
      </c>
      <c r="V62" s="24">
        <f t="shared" si="9"/>
        <v>4</v>
      </c>
    </row>
    <row r="63" spans="1:22" x14ac:dyDescent="0.2">
      <c r="A63" s="24" t="str">
        <f>IF(C63="","",SUMIF('Číselník škol'!$B$14:$B$23,'D jednotlivci'!D63,'Číselník škol'!$A$14:$A$23)&amp;"/"&amp;COUNTIF($D$20:D63,D63))</f>
        <v>9/4</v>
      </c>
      <c r="C63" s="7" t="s">
        <v>146</v>
      </c>
      <c r="D63" s="8" t="s">
        <v>127</v>
      </c>
      <c r="E63" s="17">
        <v>10.050000000000001</v>
      </c>
      <c r="F63" s="32">
        <f t="shared" si="1"/>
        <v>280</v>
      </c>
      <c r="G63" s="9">
        <v>2</v>
      </c>
      <c r="H63" s="48">
        <v>55.7</v>
      </c>
      <c r="I63" s="32">
        <f t="shared" si="2"/>
        <v>406</v>
      </c>
      <c r="J63" s="18">
        <v>355</v>
      </c>
      <c r="K63" s="32">
        <f t="shared" si="3"/>
        <v>210</v>
      </c>
      <c r="L63" s="18"/>
      <c r="M63" s="32" t="str">
        <f t="shared" si="4"/>
        <v/>
      </c>
      <c r="N63" s="19">
        <v>5.44</v>
      </c>
      <c r="O63" s="32">
        <f t="shared" si="5"/>
        <v>236</v>
      </c>
      <c r="P63" s="19"/>
      <c r="Q63" s="32" t="str">
        <f t="shared" si="6"/>
        <v/>
      </c>
      <c r="R63" s="33">
        <f t="shared" si="7"/>
        <v>1132</v>
      </c>
      <c r="S63" s="34" t="str">
        <f t="shared" si="8"/>
        <v>43.</v>
      </c>
      <c r="V63" s="24">
        <f t="shared" si="9"/>
        <v>4</v>
      </c>
    </row>
    <row r="64" spans="1:22" x14ac:dyDescent="0.2">
      <c r="A64" s="24" t="str">
        <f>IF(C64="","",SUMIF('Číselník škol'!$B$14:$B$23,'D jednotlivci'!D64,'Číselník škol'!$A$14:$A$23)&amp;"/"&amp;COUNTIF($D$20:D64,D64))</f>
        <v>9/5</v>
      </c>
      <c r="C64" s="7" t="s">
        <v>131</v>
      </c>
      <c r="D64" s="8" t="s">
        <v>127</v>
      </c>
      <c r="E64" s="17">
        <v>9.2100000000000009</v>
      </c>
      <c r="F64" s="32">
        <f t="shared" si="1"/>
        <v>456</v>
      </c>
      <c r="G64" s="9">
        <v>3</v>
      </c>
      <c r="H64" s="48">
        <v>20.399999999999999</v>
      </c>
      <c r="I64" s="32">
        <f t="shared" si="2"/>
        <v>199</v>
      </c>
      <c r="J64" s="18"/>
      <c r="K64" s="32" t="str">
        <f t="shared" si="3"/>
        <v/>
      </c>
      <c r="L64" s="18">
        <v>115</v>
      </c>
      <c r="M64" s="32">
        <f t="shared" si="4"/>
        <v>266</v>
      </c>
      <c r="N64" s="19"/>
      <c r="O64" s="32" t="str">
        <f t="shared" si="5"/>
        <v/>
      </c>
      <c r="P64" s="19">
        <v>32.6</v>
      </c>
      <c r="Q64" s="32">
        <f t="shared" si="6"/>
        <v>266</v>
      </c>
      <c r="R64" s="33">
        <f t="shared" si="7"/>
        <v>1187</v>
      </c>
      <c r="S64" s="34" t="str">
        <f t="shared" si="8"/>
        <v>40.</v>
      </c>
      <c r="V64" s="24">
        <f t="shared" si="9"/>
        <v>4</v>
      </c>
    </row>
    <row r="65" spans="1:22" x14ac:dyDescent="0.2">
      <c r="A65" s="24" t="str">
        <f>IF(C65="","",SUMIF('Číselník škol'!$B$14:$B$23,'D jednotlivci'!D65,'Číselník škol'!$A$14:$A$23)&amp;"/"&amp;COUNTIF($D$20:D65,D65))</f>
        <v>10/1</v>
      </c>
      <c r="C65" s="7" t="s">
        <v>136</v>
      </c>
      <c r="D65" s="8" t="s">
        <v>46</v>
      </c>
      <c r="E65" s="17">
        <v>9.5</v>
      </c>
      <c r="F65" s="32">
        <f t="shared" si="1"/>
        <v>391</v>
      </c>
      <c r="G65" s="9">
        <v>2</v>
      </c>
      <c r="H65" s="48">
        <v>48.3</v>
      </c>
      <c r="I65" s="32">
        <f t="shared" si="2"/>
        <v>481</v>
      </c>
      <c r="J65" s="18"/>
      <c r="K65" s="32" t="str">
        <f t="shared" si="3"/>
        <v/>
      </c>
      <c r="L65" s="18">
        <v>139</v>
      </c>
      <c r="M65" s="32">
        <f t="shared" si="4"/>
        <v>502</v>
      </c>
      <c r="N65" s="19"/>
      <c r="O65" s="32" t="str">
        <f t="shared" si="5"/>
        <v/>
      </c>
      <c r="P65" s="19">
        <v>41.7</v>
      </c>
      <c r="Q65" s="32">
        <f t="shared" si="6"/>
        <v>377</v>
      </c>
      <c r="R65" s="33">
        <f t="shared" si="7"/>
        <v>1751</v>
      </c>
      <c r="S65" s="34" t="str">
        <f t="shared" si="8"/>
        <v>9.</v>
      </c>
      <c r="V65" s="24">
        <f t="shared" si="9"/>
        <v>4</v>
      </c>
    </row>
    <row r="66" spans="1:22" x14ac:dyDescent="0.2">
      <c r="A66" s="24" t="str">
        <f>IF(C66="","",SUMIF('Číselník škol'!$B$14:$B$23,'D jednotlivci'!D66,'Číselník škol'!$A$14:$A$23)&amp;"/"&amp;COUNTIF($D$20:D66,D66))</f>
        <v>10/2</v>
      </c>
      <c r="C66" s="7" t="s">
        <v>137</v>
      </c>
      <c r="D66" s="8" t="s">
        <v>46</v>
      </c>
      <c r="E66" s="17">
        <v>8.75</v>
      </c>
      <c r="F66" s="32">
        <f t="shared" si="1"/>
        <v>569</v>
      </c>
      <c r="G66" s="9">
        <v>2</v>
      </c>
      <c r="H66" s="48">
        <v>56.9</v>
      </c>
      <c r="I66" s="32">
        <f t="shared" si="2"/>
        <v>395</v>
      </c>
      <c r="J66" s="18">
        <v>442</v>
      </c>
      <c r="K66" s="32">
        <f t="shared" si="3"/>
        <v>408</v>
      </c>
      <c r="L66" s="18"/>
      <c r="M66" s="32" t="str">
        <f t="shared" si="4"/>
        <v/>
      </c>
      <c r="N66" s="19">
        <v>8.31</v>
      </c>
      <c r="O66" s="32">
        <f t="shared" si="5"/>
        <v>419</v>
      </c>
      <c r="P66" s="19"/>
      <c r="Q66" s="32" t="str">
        <f t="shared" si="6"/>
        <v/>
      </c>
      <c r="R66" s="33">
        <f t="shared" si="7"/>
        <v>1791</v>
      </c>
      <c r="S66" s="34" t="str">
        <f t="shared" si="8"/>
        <v>7.</v>
      </c>
      <c r="V66" s="24">
        <f t="shared" si="9"/>
        <v>4</v>
      </c>
    </row>
    <row r="67" spans="1:22" x14ac:dyDescent="0.2">
      <c r="A67" s="24" t="str">
        <f>IF(C67="","",SUMIF('Číselník škol'!$B$14:$B$23,'D jednotlivci'!D67,'Číselník škol'!$A$14:$A$23)&amp;"/"&amp;COUNTIF($D$20:D67,D67))</f>
        <v>10/3</v>
      </c>
      <c r="C67" s="7" t="s">
        <v>138</v>
      </c>
      <c r="D67" s="8" t="s">
        <v>46</v>
      </c>
      <c r="E67" s="17">
        <v>9.0299999999999994</v>
      </c>
      <c r="F67" s="32">
        <f t="shared" si="1"/>
        <v>499</v>
      </c>
      <c r="G67" s="9">
        <v>2</v>
      </c>
      <c r="H67" s="48">
        <v>45.9</v>
      </c>
      <c r="I67" s="32">
        <f t="shared" si="2"/>
        <v>507</v>
      </c>
      <c r="J67" s="18">
        <v>410</v>
      </c>
      <c r="K67" s="32">
        <f t="shared" si="3"/>
        <v>331</v>
      </c>
      <c r="L67" s="18"/>
      <c r="M67" s="32" t="str">
        <f t="shared" si="4"/>
        <v/>
      </c>
      <c r="N67" s="19">
        <v>8.16</v>
      </c>
      <c r="O67" s="32">
        <f t="shared" si="5"/>
        <v>410</v>
      </c>
      <c r="P67" s="19"/>
      <c r="Q67" s="32" t="str">
        <f t="shared" si="6"/>
        <v/>
      </c>
      <c r="R67" s="33">
        <f t="shared" si="7"/>
        <v>1747</v>
      </c>
      <c r="S67" s="34" t="str">
        <f t="shared" si="8"/>
        <v>10.</v>
      </c>
      <c r="V67" s="24">
        <f t="shared" si="9"/>
        <v>4</v>
      </c>
    </row>
    <row r="68" spans="1:22" x14ac:dyDescent="0.2">
      <c r="A68" s="24" t="str">
        <f>IF(C68="","",SUMIF('Číselník škol'!$B$14:$B$23,'D jednotlivci'!D68,'Číselník škol'!$A$14:$A$23)&amp;"/"&amp;COUNTIF($D$20:D68,D68))</f>
        <v>10/4</v>
      </c>
      <c r="C68" s="7" t="s">
        <v>139</v>
      </c>
      <c r="D68" s="8" t="s">
        <v>46</v>
      </c>
      <c r="E68" s="17">
        <v>9.19</v>
      </c>
      <c r="F68" s="32">
        <f t="shared" si="1"/>
        <v>461</v>
      </c>
      <c r="G68" s="9">
        <v>2</v>
      </c>
      <c r="H68" s="48">
        <v>51.6</v>
      </c>
      <c r="I68" s="32">
        <f t="shared" si="2"/>
        <v>447</v>
      </c>
      <c r="J68" s="18">
        <v>425</v>
      </c>
      <c r="K68" s="32">
        <f t="shared" si="3"/>
        <v>367</v>
      </c>
      <c r="L68" s="18"/>
      <c r="M68" s="32" t="str">
        <f t="shared" si="4"/>
        <v/>
      </c>
      <c r="N68" s="19"/>
      <c r="O68" s="32" t="str">
        <f t="shared" si="5"/>
        <v/>
      </c>
      <c r="P68" s="19">
        <v>38.58</v>
      </c>
      <c r="Q68" s="32">
        <f t="shared" si="6"/>
        <v>338</v>
      </c>
      <c r="R68" s="33">
        <f t="shared" si="7"/>
        <v>1613</v>
      </c>
      <c r="S68" s="34" t="str">
        <f t="shared" si="8"/>
        <v>17.</v>
      </c>
      <c r="V68" s="24">
        <f t="shared" si="9"/>
        <v>4</v>
      </c>
    </row>
    <row r="69" spans="1:22" x14ac:dyDescent="0.2">
      <c r="A69" s="24" t="str">
        <f>IF(C69="","",SUMIF('Číselník škol'!$B$14:$B$23,'D jednotlivci'!D69,'Číselník škol'!$A$14:$A$23)&amp;"/"&amp;COUNTIF($D$20:D69,D69))</f>
        <v>10/5</v>
      </c>
      <c r="C69" s="7" t="s">
        <v>147</v>
      </c>
      <c r="D69" s="8" t="s">
        <v>46</v>
      </c>
      <c r="E69" s="17">
        <v>9.34</v>
      </c>
      <c r="F69" s="32">
        <f t="shared" si="1"/>
        <v>426</v>
      </c>
      <c r="G69" s="9">
        <v>3</v>
      </c>
      <c r="H69" s="48">
        <v>2.7</v>
      </c>
      <c r="I69" s="32">
        <f t="shared" si="2"/>
        <v>341</v>
      </c>
      <c r="J69" s="18"/>
      <c r="K69" s="32" t="str">
        <f t="shared" si="3"/>
        <v/>
      </c>
      <c r="L69" s="18">
        <v>119</v>
      </c>
      <c r="M69" s="32">
        <f t="shared" si="4"/>
        <v>302</v>
      </c>
      <c r="N69" s="19"/>
      <c r="O69" s="32" t="str">
        <f t="shared" si="5"/>
        <v/>
      </c>
      <c r="P69" s="19">
        <v>39.4</v>
      </c>
      <c r="Q69" s="32">
        <f t="shared" si="6"/>
        <v>348</v>
      </c>
      <c r="R69" s="33">
        <f t="shared" si="7"/>
        <v>1417</v>
      </c>
      <c r="S69" s="34" t="str">
        <f t="shared" si="8"/>
        <v>29.</v>
      </c>
      <c r="V69" s="24">
        <f t="shared" si="9"/>
        <v>4</v>
      </c>
    </row>
    <row r="70" spans="1:22" x14ac:dyDescent="0.2">
      <c r="A70" s="24" t="str">
        <f>IF(C70="","",SUMIF('Číselník škol'!$B$14:$B$23,'D jednotlivci'!D70,'Číselník škol'!$A$14:$A$23)&amp;"/"&amp;COUNTIF($D$20:D70,D70))</f>
        <v/>
      </c>
      <c r="C70" s="7"/>
      <c r="D70" s="8"/>
      <c r="E70" s="17"/>
      <c r="F70" s="32" t="str">
        <f t="shared" si="1"/>
        <v/>
      </c>
      <c r="G70" s="9"/>
      <c r="H70" s="48"/>
      <c r="I70" s="32" t="str">
        <f t="shared" si="2"/>
        <v/>
      </c>
      <c r="J70" s="18"/>
      <c r="K70" s="32" t="str">
        <f t="shared" si="3"/>
        <v/>
      </c>
      <c r="L70" s="18"/>
      <c r="M70" s="32" t="str">
        <f t="shared" si="4"/>
        <v/>
      </c>
      <c r="N70" s="19"/>
      <c r="O70" s="32" t="str">
        <f t="shared" si="5"/>
        <v/>
      </c>
      <c r="P70" s="19"/>
      <c r="Q70" s="32" t="str">
        <f t="shared" si="6"/>
        <v/>
      </c>
      <c r="R70" s="33" t="str">
        <f t="shared" si="7"/>
        <v/>
      </c>
      <c r="S70" s="34" t="str">
        <f t="shared" si="8"/>
        <v/>
      </c>
      <c r="V70" s="24" t="str">
        <f t="shared" si="9"/>
        <v/>
      </c>
    </row>
    <row r="71" spans="1:22" x14ac:dyDescent="0.2">
      <c r="A71" s="24" t="str">
        <f>IF(C71="","",SUMIF('Číselník škol'!$B$14:$B$23,'D jednotlivci'!D71,'Číselník škol'!$A$14:$A$23)&amp;"/"&amp;COUNTIF($D$20:D71,D71))</f>
        <v/>
      </c>
      <c r="C71" s="7"/>
      <c r="D71" s="8"/>
      <c r="E71" s="17"/>
      <c r="F71" s="32" t="str">
        <f t="shared" si="1"/>
        <v/>
      </c>
      <c r="G71" s="9"/>
      <c r="H71" s="48"/>
      <c r="I71" s="32" t="str">
        <f t="shared" si="2"/>
        <v/>
      </c>
      <c r="J71" s="18"/>
      <c r="K71" s="32" t="str">
        <f t="shared" si="3"/>
        <v/>
      </c>
      <c r="L71" s="18"/>
      <c r="M71" s="32" t="str">
        <f t="shared" si="4"/>
        <v/>
      </c>
      <c r="N71" s="19"/>
      <c r="O71" s="32" t="str">
        <f t="shared" si="5"/>
        <v/>
      </c>
      <c r="P71" s="19"/>
      <c r="Q71" s="32" t="str">
        <f t="shared" si="6"/>
        <v/>
      </c>
      <c r="R71" s="33" t="str">
        <f t="shared" si="7"/>
        <v/>
      </c>
      <c r="S71" s="34" t="str">
        <f t="shared" si="8"/>
        <v/>
      </c>
      <c r="V71" s="24" t="str">
        <f t="shared" si="9"/>
        <v/>
      </c>
    </row>
    <row r="72" spans="1:22" x14ac:dyDescent="0.2">
      <c r="A72" s="24" t="str">
        <f>IF(C72="","",SUMIF('Číselník škol'!$B$14:$B$23,'D jednotlivci'!D72,'Číselník škol'!$A$14:$A$23)&amp;"/"&amp;COUNTIF($D$20:D72,D72))</f>
        <v/>
      </c>
      <c r="C72" s="7"/>
      <c r="D72" s="8"/>
      <c r="E72" s="17"/>
      <c r="F72" s="32" t="str">
        <f t="shared" si="1"/>
        <v/>
      </c>
      <c r="G72" s="9"/>
      <c r="H72" s="48"/>
      <c r="I72" s="32" t="str">
        <f t="shared" si="2"/>
        <v/>
      </c>
      <c r="J72" s="18"/>
      <c r="K72" s="32" t="str">
        <f t="shared" si="3"/>
        <v/>
      </c>
      <c r="L72" s="18"/>
      <c r="M72" s="32" t="str">
        <f t="shared" si="4"/>
        <v/>
      </c>
      <c r="N72" s="19"/>
      <c r="O72" s="32" t="str">
        <f t="shared" si="5"/>
        <v/>
      </c>
      <c r="P72" s="19"/>
      <c r="Q72" s="32" t="str">
        <f t="shared" si="6"/>
        <v/>
      </c>
      <c r="R72" s="33" t="str">
        <f t="shared" si="7"/>
        <v/>
      </c>
      <c r="S72" s="34" t="str">
        <f t="shared" si="8"/>
        <v/>
      </c>
      <c r="V72" s="24" t="str">
        <f t="shared" si="9"/>
        <v/>
      </c>
    </row>
    <row r="73" spans="1:22" x14ac:dyDescent="0.2">
      <c r="A73" s="24" t="str">
        <f>IF(C73="","",SUMIF('Číselník škol'!$B$14:$B$23,'D jednotlivci'!D73,'Číselník škol'!$A$14:$A$23)&amp;"/"&amp;COUNTIF($D$20:D73,D73))</f>
        <v/>
      </c>
      <c r="C73" s="7"/>
      <c r="D73" s="8"/>
      <c r="E73" s="17"/>
      <c r="F73" s="32" t="str">
        <f t="shared" si="1"/>
        <v/>
      </c>
      <c r="G73" s="9"/>
      <c r="H73" s="48"/>
      <c r="I73" s="32" t="str">
        <f t="shared" si="2"/>
        <v/>
      </c>
      <c r="J73" s="18"/>
      <c r="K73" s="32" t="str">
        <f t="shared" si="3"/>
        <v/>
      </c>
      <c r="L73" s="18"/>
      <c r="M73" s="32" t="str">
        <f t="shared" si="4"/>
        <v/>
      </c>
      <c r="N73" s="19"/>
      <c r="O73" s="32" t="str">
        <f t="shared" si="5"/>
        <v/>
      </c>
      <c r="P73" s="19"/>
      <c r="Q73" s="32" t="str">
        <f t="shared" si="6"/>
        <v/>
      </c>
      <c r="R73" s="33" t="str">
        <f t="shared" si="7"/>
        <v/>
      </c>
      <c r="S73" s="34" t="str">
        <f t="shared" si="8"/>
        <v/>
      </c>
      <c r="V73" s="24" t="str">
        <f t="shared" si="9"/>
        <v/>
      </c>
    </row>
    <row r="74" spans="1:22" x14ac:dyDescent="0.2">
      <c r="A74" s="24" t="str">
        <f>IF(C74="","",SUMIF('Číselník škol'!$B$14:$B$23,'D jednotlivci'!D74,'Číselník škol'!$A$14:$A$23)&amp;"/"&amp;COUNTIF($D$20:D74,D74))</f>
        <v/>
      </c>
      <c r="C74" s="7"/>
      <c r="D74" s="8"/>
      <c r="E74" s="17"/>
      <c r="F74" s="32" t="str">
        <f t="shared" si="1"/>
        <v/>
      </c>
      <c r="G74" s="9"/>
      <c r="H74" s="48"/>
      <c r="I74" s="32" t="str">
        <f t="shared" si="2"/>
        <v/>
      </c>
      <c r="J74" s="18"/>
      <c r="K74" s="32" t="str">
        <f t="shared" si="3"/>
        <v/>
      </c>
      <c r="L74" s="18"/>
      <c r="M74" s="32" t="str">
        <f t="shared" si="4"/>
        <v/>
      </c>
      <c r="N74" s="19"/>
      <c r="O74" s="32" t="str">
        <f t="shared" si="5"/>
        <v/>
      </c>
      <c r="P74" s="19"/>
      <c r="Q74" s="32" t="str">
        <f t="shared" si="6"/>
        <v/>
      </c>
      <c r="R74" s="33" t="str">
        <f t="shared" si="7"/>
        <v/>
      </c>
      <c r="S74" s="34" t="str">
        <f t="shared" si="8"/>
        <v/>
      </c>
      <c r="V74" s="24" t="str">
        <f t="shared" si="9"/>
        <v/>
      </c>
    </row>
    <row r="75" spans="1:22" x14ac:dyDescent="0.2">
      <c r="A75" s="24" t="str">
        <f>IF(C75="","",SUMIF('Číselník škol'!$B$14:$B$23,'D jednotlivci'!D75,'Číselník škol'!$A$14:$A$23)&amp;"/"&amp;COUNTIF($D$20:D75,D75))</f>
        <v/>
      </c>
      <c r="C75" s="7"/>
      <c r="D75" s="8"/>
      <c r="E75" s="17"/>
      <c r="F75" s="32" t="str">
        <f t="shared" si="1"/>
        <v/>
      </c>
      <c r="G75" s="9"/>
      <c r="H75" s="48"/>
      <c r="I75" s="32" t="str">
        <f t="shared" si="2"/>
        <v/>
      </c>
      <c r="J75" s="18"/>
      <c r="K75" s="32" t="str">
        <f t="shared" si="3"/>
        <v/>
      </c>
      <c r="L75" s="18"/>
      <c r="M75" s="32" t="str">
        <f t="shared" si="4"/>
        <v/>
      </c>
      <c r="N75" s="19"/>
      <c r="O75" s="32" t="str">
        <f t="shared" si="5"/>
        <v/>
      </c>
      <c r="P75" s="19"/>
      <c r="Q75" s="32" t="str">
        <f t="shared" si="6"/>
        <v/>
      </c>
      <c r="R75" s="33" t="str">
        <f t="shared" si="7"/>
        <v/>
      </c>
      <c r="S75" s="34" t="str">
        <f t="shared" si="8"/>
        <v/>
      </c>
      <c r="V75" s="24" t="str">
        <f t="shared" si="9"/>
        <v/>
      </c>
    </row>
    <row r="76" spans="1:22" x14ac:dyDescent="0.2">
      <c r="A76" s="24" t="str">
        <f>IF(C76="","",SUMIF('Číselník škol'!$B$14:$B$23,'D jednotlivci'!D76,'Číselník škol'!$A$14:$A$23)&amp;"/"&amp;COUNTIF($D$20:D76,D76))</f>
        <v/>
      </c>
      <c r="C76" s="7"/>
      <c r="D76" s="8"/>
      <c r="E76" s="17"/>
      <c r="F76" s="32" t="str">
        <f t="shared" si="1"/>
        <v/>
      </c>
      <c r="G76" s="9"/>
      <c r="H76" s="48"/>
      <c r="I76" s="32" t="str">
        <f t="shared" si="2"/>
        <v/>
      </c>
      <c r="J76" s="18"/>
      <c r="K76" s="32" t="str">
        <f t="shared" si="3"/>
        <v/>
      </c>
      <c r="L76" s="18"/>
      <c r="M76" s="32" t="str">
        <f t="shared" si="4"/>
        <v/>
      </c>
      <c r="N76" s="19"/>
      <c r="O76" s="32" t="str">
        <f t="shared" si="5"/>
        <v/>
      </c>
      <c r="P76" s="19"/>
      <c r="Q76" s="32" t="str">
        <f t="shared" si="6"/>
        <v/>
      </c>
      <c r="R76" s="33" t="str">
        <f t="shared" si="7"/>
        <v/>
      </c>
      <c r="S76" s="34" t="str">
        <f t="shared" si="8"/>
        <v/>
      </c>
      <c r="V76" s="24" t="str">
        <f t="shared" si="9"/>
        <v/>
      </c>
    </row>
    <row r="77" spans="1:22" x14ac:dyDescent="0.2">
      <c r="A77" s="24" t="str">
        <f>IF(C77="","",SUMIF('Číselník škol'!$B$14:$B$23,'D jednotlivci'!D77,'Číselník škol'!$A$14:$A$23)&amp;"/"&amp;COUNTIF($D$20:D77,D77))</f>
        <v/>
      </c>
      <c r="C77" s="7"/>
      <c r="D77" s="8"/>
      <c r="E77" s="17"/>
      <c r="F77" s="32" t="str">
        <f t="shared" si="1"/>
        <v/>
      </c>
      <c r="G77" s="9"/>
      <c r="H77" s="48"/>
      <c r="I77" s="32" t="str">
        <f t="shared" si="2"/>
        <v/>
      </c>
      <c r="J77" s="18"/>
      <c r="K77" s="32" t="str">
        <f t="shared" si="3"/>
        <v/>
      </c>
      <c r="L77" s="18"/>
      <c r="M77" s="32" t="str">
        <f t="shared" si="4"/>
        <v/>
      </c>
      <c r="N77" s="19"/>
      <c r="O77" s="32" t="str">
        <f t="shared" si="5"/>
        <v/>
      </c>
      <c r="P77" s="19"/>
      <c r="Q77" s="32" t="str">
        <f t="shared" si="6"/>
        <v/>
      </c>
      <c r="R77" s="33" t="str">
        <f t="shared" si="7"/>
        <v/>
      </c>
      <c r="S77" s="34" t="str">
        <f t="shared" si="8"/>
        <v/>
      </c>
      <c r="V77" s="24" t="str">
        <f t="shared" si="9"/>
        <v/>
      </c>
    </row>
    <row r="78" spans="1:22" x14ac:dyDescent="0.2">
      <c r="A78" s="24" t="str">
        <f>IF(C78="","",SUMIF('Číselník škol'!$B$14:$B$23,'D jednotlivci'!D78,'Číselník škol'!$A$14:$A$23)&amp;"/"&amp;COUNTIF($D$20:D78,D78))</f>
        <v/>
      </c>
      <c r="C78" s="7"/>
      <c r="D78" s="8"/>
      <c r="E78" s="17"/>
      <c r="F78" s="32" t="str">
        <f t="shared" si="1"/>
        <v/>
      </c>
      <c r="G78" s="9"/>
      <c r="H78" s="48"/>
      <c r="I78" s="32" t="str">
        <f t="shared" si="2"/>
        <v/>
      </c>
      <c r="J78" s="18"/>
      <c r="K78" s="32" t="str">
        <f t="shared" si="3"/>
        <v/>
      </c>
      <c r="L78" s="18"/>
      <c r="M78" s="32" t="str">
        <f t="shared" si="4"/>
        <v/>
      </c>
      <c r="N78" s="19"/>
      <c r="O78" s="32" t="str">
        <f t="shared" si="5"/>
        <v/>
      </c>
      <c r="P78" s="19"/>
      <c r="Q78" s="32" t="str">
        <f t="shared" si="6"/>
        <v/>
      </c>
      <c r="R78" s="33" t="str">
        <f t="shared" si="7"/>
        <v/>
      </c>
      <c r="S78" s="34" t="str">
        <f t="shared" si="8"/>
        <v/>
      </c>
      <c r="V78" s="24" t="str">
        <f t="shared" si="9"/>
        <v/>
      </c>
    </row>
    <row r="79" spans="1:22" x14ac:dyDescent="0.2">
      <c r="A79" s="24" t="str">
        <f>IF(C79="","",SUMIF('Číselník škol'!$B$14:$B$23,'D jednotlivci'!D79,'Číselník škol'!$A$14:$A$23)&amp;"/"&amp;COUNTIF($D$20:D79,D79))</f>
        <v/>
      </c>
      <c r="C79" s="7"/>
      <c r="D79" s="8"/>
      <c r="E79" s="17"/>
      <c r="F79" s="32" t="str">
        <f t="shared" si="1"/>
        <v/>
      </c>
      <c r="G79" s="9"/>
      <c r="H79" s="48"/>
      <c r="I79" s="32" t="str">
        <f t="shared" si="2"/>
        <v/>
      </c>
      <c r="J79" s="18"/>
      <c r="K79" s="32" t="str">
        <f t="shared" si="3"/>
        <v/>
      </c>
      <c r="L79" s="18"/>
      <c r="M79" s="32" t="str">
        <f t="shared" si="4"/>
        <v/>
      </c>
      <c r="N79" s="19"/>
      <c r="O79" s="32" t="str">
        <f t="shared" si="5"/>
        <v/>
      </c>
      <c r="P79" s="19"/>
      <c r="Q79" s="32" t="str">
        <f t="shared" si="6"/>
        <v/>
      </c>
      <c r="R79" s="33" t="str">
        <f t="shared" si="7"/>
        <v/>
      </c>
      <c r="S79" s="34" t="str">
        <f t="shared" si="8"/>
        <v/>
      </c>
      <c r="V79" s="24" t="str">
        <f t="shared" si="9"/>
        <v/>
      </c>
    </row>
    <row r="80" spans="1:22" x14ac:dyDescent="0.2">
      <c r="A80" s="24" t="str">
        <f>IF(C80="","",SUMIF('Číselník škol'!$B$14:$B$23,'D jednotlivci'!D80,'Číselník škol'!$A$14:$A$23)&amp;"/"&amp;COUNTIF($D$20:D80,D80))</f>
        <v/>
      </c>
      <c r="C80" s="7"/>
      <c r="D80" s="8"/>
      <c r="E80" s="17"/>
      <c r="F80" s="32" t="str">
        <f t="shared" si="1"/>
        <v/>
      </c>
      <c r="G80" s="9"/>
      <c r="H80" s="48"/>
      <c r="I80" s="32" t="str">
        <f t="shared" si="2"/>
        <v/>
      </c>
      <c r="J80" s="18"/>
      <c r="K80" s="32" t="str">
        <f t="shared" si="3"/>
        <v/>
      </c>
      <c r="L80" s="18"/>
      <c r="M80" s="32" t="str">
        <f t="shared" si="4"/>
        <v/>
      </c>
      <c r="N80" s="19"/>
      <c r="O80" s="32" t="str">
        <f t="shared" si="5"/>
        <v/>
      </c>
      <c r="P80" s="19"/>
      <c r="Q80" s="32" t="str">
        <f t="shared" si="6"/>
        <v/>
      </c>
      <c r="R80" s="33" t="str">
        <f t="shared" si="7"/>
        <v/>
      </c>
      <c r="S80" s="34" t="str">
        <f t="shared" si="8"/>
        <v/>
      </c>
      <c r="V80" s="24" t="str">
        <f t="shared" si="9"/>
        <v/>
      </c>
    </row>
    <row r="81" spans="1:22" x14ac:dyDescent="0.2">
      <c r="A81" s="24" t="str">
        <f>IF(C81="","",SUMIF('Číselník škol'!$B$14:$B$23,'D jednotlivci'!D81,'Číselník škol'!$A$14:$A$23)&amp;"/"&amp;COUNTIF($D$20:D81,D81))</f>
        <v/>
      </c>
      <c r="C81" s="7"/>
      <c r="D81" s="8"/>
      <c r="E81" s="17"/>
      <c r="F81" s="32" t="str">
        <f t="shared" si="1"/>
        <v/>
      </c>
      <c r="G81" s="9"/>
      <c r="H81" s="48"/>
      <c r="I81" s="32" t="str">
        <f t="shared" si="2"/>
        <v/>
      </c>
      <c r="J81" s="18"/>
      <c r="K81" s="32" t="str">
        <f t="shared" si="3"/>
        <v/>
      </c>
      <c r="L81" s="18"/>
      <c r="M81" s="32" t="str">
        <f t="shared" si="4"/>
        <v/>
      </c>
      <c r="N81" s="19"/>
      <c r="O81" s="32" t="str">
        <f t="shared" si="5"/>
        <v/>
      </c>
      <c r="P81" s="19"/>
      <c r="Q81" s="32" t="str">
        <f t="shared" si="6"/>
        <v/>
      </c>
      <c r="R81" s="33" t="str">
        <f t="shared" si="7"/>
        <v/>
      </c>
      <c r="S81" s="34" t="str">
        <f t="shared" si="8"/>
        <v/>
      </c>
      <c r="V81" s="24" t="str">
        <f t="shared" si="9"/>
        <v/>
      </c>
    </row>
    <row r="82" spans="1:22" x14ac:dyDescent="0.2">
      <c r="A82" s="24" t="str">
        <f>IF(C82="","",SUMIF('Číselník škol'!$B$14:$B$23,'D jednotlivci'!D82,'Číselník škol'!$A$14:$A$23)&amp;"/"&amp;COUNTIF($D$20:D82,D82))</f>
        <v/>
      </c>
      <c r="C82" s="7"/>
      <c r="D82" s="8"/>
      <c r="E82" s="17"/>
      <c r="F82" s="32" t="str">
        <f t="shared" si="1"/>
        <v/>
      </c>
      <c r="G82" s="9"/>
      <c r="H82" s="48"/>
      <c r="I82" s="32" t="str">
        <f t="shared" si="2"/>
        <v/>
      </c>
      <c r="J82" s="18"/>
      <c r="K82" s="32" t="str">
        <f t="shared" si="3"/>
        <v/>
      </c>
      <c r="L82" s="18"/>
      <c r="M82" s="32" t="str">
        <f t="shared" si="4"/>
        <v/>
      </c>
      <c r="N82" s="19"/>
      <c r="O82" s="32" t="str">
        <f t="shared" si="5"/>
        <v/>
      </c>
      <c r="P82" s="19"/>
      <c r="Q82" s="32" t="str">
        <f t="shared" si="6"/>
        <v/>
      </c>
      <c r="R82" s="33" t="str">
        <f t="shared" si="7"/>
        <v/>
      </c>
      <c r="S82" s="34" t="str">
        <f t="shared" si="8"/>
        <v/>
      </c>
      <c r="V82" s="24" t="str">
        <f t="shared" si="9"/>
        <v/>
      </c>
    </row>
    <row r="83" spans="1:22" x14ac:dyDescent="0.2">
      <c r="A83" s="24" t="str">
        <f>IF(C83="","",SUMIF('Číselník škol'!$B$14:$B$23,'D jednotlivci'!D83,'Číselník škol'!$A$14:$A$23)&amp;"/"&amp;COUNTIF($D$20:D83,D83))</f>
        <v/>
      </c>
      <c r="C83" s="7"/>
      <c r="D83" s="8"/>
      <c r="E83" s="17"/>
      <c r="F83" s="32" t="str">
        <f t="shared" si="1"/>
        <v/>
      </c>
      <c r="G83" s="9"/>
      <c r="H83" s="48"/>
      <c r="I83" s="32" t="str">
        <f t="shared" si="2"/>
        <v/>
      </c>
      <c r="J83" s="18"/>
      <c r="K83" s="32" t="str">
        <f t="shared" si="3"/>
        <v/>
      </c>
      <c r="L83" s="18"/>
      <c r="M83" s="32" t="str">
        <f t="shared" si="4"/>
        <v/>
      </c>
      <c r="N83" s="19"/>
      <c r="O83" s="32" t="str">
        <f t="shared" si="5"/>
        <v/>
      </c>
      <c r="P83" s="19"/>
      <c r="Q83" s="32" t="str">
        <f t="shared" si="6"/>
        <v/>
      </c>
      <c r="R83" s="33" t="str">
        <f t="shared" si="7"/>
        <v/>
      </c>
      <c r="S83" s="34" t="str">
        <f t="shared" si="8"/>
        <v/>
      </c>
      <c r="V83" s="24" t="str">
        <f t="shared" si="9"/>
        <v/>
      </c>
    </row>
    <row r="84" spans="1:22" x14ac:dyDescent="0.2">
      <c r="A84" s="24" t="str">
        <f>IF(C84="","",SUMIF('Číselník škol'!$B$14:$B$23,'D jednotlivci'!D84,'Číselník škol'!$A$14:$A$23)&amp;"/"&amp;COUNTIF($D$20:D84,D84))</f>
        <v/>
      </c>
      <c r="C84" s="7"/>
      <c r="D84" s="8"/>
      <c r="E84" s="17"/>
      <c r="F84" s="32" t="str">
        <f t="shared" si="1"/>
        <v/>
      </c>
      <c r="G84" s="9"/>
      <c r="H84" s="48"/>
      <c r="I84" s="32" t="str">
        <f t="shared" si="2"/>
        <v/>
      </c>
      <c r="J84" s="18"/>
      <c r="K84" s="32" t="str">
        <f t="shared" si="3"/>
        <v/>
      </c>
      <c r="L84" s="18"/>
      <c r="M84" s="32" t="str">
        <f t="shared" si="4"/>
        <v/>
      </c>
      <c r="N84" s="19"/>
      <c r="O84" s="32" t="str">
        <f t="shared" si="5"/>
        <v/>
      </c>
      <c r="P84" s="19"/>
      <c r="Q84" s="32" t="str">
        <f t="shared" si="6"/>
        <v/>
      </c>
      <c r="R84" s="33" t="str">
        <f t="shared" si="7"/>
        <v/>
      </c>
      <c r="S84" s="34" t="str">
        <f t="shared" si="8"/>
        <v/>
      </c>
      <c r="V84" s="24" t="str">
        <f t="shared" si="9"/>
        <v/>
      </c>
    </row>
    <row r="85" spans="1:22" x14ac:dyDescent="0.2">
      <c r="A85" s="24" t="str">
        <f>IF(C85="","",SUMIF('Číselník škol'!$B$14:$B$23,'D jednotlivci'!D85,'Číselník škol'!$A$14:$A$23)&amp;"/"&amp;COUNTIF($D$20:D85,D85))</f>
        <v/>
      </c>
      <c r="C85" s="7"/>
      <c r="D85" s="8"/>
      <c r="E85" s="17"/>
      <c r="F85" s="32" t="str">
        <f t="shared" ref="F85:F136" si="10">IF(E85="","",INT(46.0849*POWER(12.76-IF(E85&gt;12.76,12.76,E85),1.81)))</f>
        <v/>
      </c>
      <c r="G85" s="9"/>
      <c r="H85" s="48"/>
      <c r="I85" s="32" t="str">
        <f t="shared" ref="I85:I136" si="11">IF(G85="","",IF(G85*60+H85&gt;254,0,INT(0.11193*POWER(254-(G85*60+H85),1.88))))</f>
        <v/>
      </c>
      <c r="J85" s="18"/>
      <c r="K85" s="32" t="str">
        <f t="shared" ref="K85:K136" si="12">IF(J85="","",IF(J85&lt;210,0,INT(0.188807*POWER(J85-210,1.41))))</f>
        <v/>
      </c>
      <c r="L85" s="18"/>
      <c r="M85" s="32" t="str">
        <f t="shared" ref="M85:M136" si="13">IF(L85="","",IF(L85&lt;75,0,INT(1.84523*POWER(L85-75,1.348))))</f>
        <v/>
      </c>
      <c r="N85" s="19"/>
      <c r="O85" s="32" t="str">
        <f t="shared" ref="O85:O136" si="14">IF(N85="","",IF(N85&lt;1.5,0,INT(56.02111*POWER(N85-1.5,1.05))))</f>
        <v/>
      </c>
      <c r="P85" s="19"/>
      <c r="Q85" s="32" t="str">
        <f t="shared" ref="Q85:Q136" si="15">IF(P85="","",IF(P85&lt;1.1,0,INT(7.86*POWER(P85-7.95,1.1))))</f>
        <v/>
      </c>
      <c r="R85" s="33" t="str">
        <f t="shared" ref="R85:R136" si="16">IF(OR(SUM(Q85,O85,M85,K85,I85,F85)=0,C85=""),"",SUM(Q85,O85,M85,K85,I85,F85))</f>
        <v/>
      </c>
      <c r="S85" s="34" t="str">
        <f t="shared" ref="S85:S136" si="17">IF(OR(R85="",C85=""),"",RANK(R85,$R$20:$R$136,0)&amp;".")</f>
        <v/>
      </c>
      <c r="V85" s="24" t="str">
        <f t="shared" ref="V85:V136" si="18">IF(C85="","",COUNT(E85,G85,J85,L85,N85,P85))</f>
        <v/>
      </c>
    </row>
    <row r="86" spans="1:22" x14ac:dyDescent="0.2">
      <c r="A86" s="24" t="str">
        <f>IF(C86="","",SUMIF('Číselník škol'!$B$14:$B$23,'D jednotlivci'!D86,'Číselník škol'!$A$14:$A$23)&amp;"/"&amp;COUNTIF($D$20:D86,D86))</f>
        <v/>
      </c>
      <c r="C86" s="7"/>
      <c r="D86" s="8"/>
      <c r="E86" s="17"/>
      <c r="F86" s="32" t="str">
        <f t="shared" si="10"/>
        <v/>
      </c>
      <c r="G86" s="9"/>
      <c r="H86" s="48"/>
      <c r="I86" s="32" t="str">
        <f t="shared" si="11"/>
        <v/>
      </c>
      <c r="J86" s="18"/>
      <c r="K86" s="32" t="str">
        <f t="shared" si="12"/>
        <v/>
      </c>
      <c r="L86" s="18"/>
      <c r="M86" s="32" t="str">
        <f t="shared" si="13"/>
        <v/>
      </c>
      <c r="N86" s="19"/>
      <c r="O86" s="32" t="str">
        <f t="shared" si="14"/>
        <v/>
      </c>
      <c r="P86" s="19"/>
      <c r="Q86" s="32" t="str">
        <f t="shared" si="15"/>
        <v/>
      </c>
      <c r="R86" s="33" t="str">
        <f t="shared" si="16"/>
        <v/>
      </c>
      <c r="S86" s="34" t="str">
        <f t="shared" si="17"/>
        <v/>
      </c>
      <c r="V86" s="24" t="str">
        <f t="shared" si="18"/>
        <v/>
      </c>
    </row>
    <row r="87" spans="1:22" x14ac:dyDescent="0.2">
      <c r="A87" s="24" t="str">
        <f>IF(C87="","",SUMIF('Číselník škol'!$B$14:$B$23,'D jednotlivci'!D87,'Číselník škol'!$A$14:$A$23)&amp;"/"&amp;COUNTIF($D$20:D87,D87))</f>
        <v/>
      </c>
      <c r="C87" s="7"/>
      <c r="D87" s="8"/>
      <c r="E87" s="17"/>
      <c r="F87" s="32" t="str">
        <f t="shared" si="10"/>
        <v/>
      </c>
      <c r="G87" s="9"/>
      <c r="H87" s="48"/>
      <c r="I87" s="32" t="str">
        <f t="shared" si="11"/>
        <v/>
      </c>
      <c r="J87" s="18"/>
      <c r="K87" s="32" t="str">
        <f t="shared" si="12"/>
        <v/>
      </c>
      <c r="L87" s="18"/>
      <c r="M87" s="32" t="str">
        <f t="shared" si="13"/>
        <v/>
      </c>
      <c r="N87" s="19"/>
      <c r="O87" s="32" t="str">
        <f t="shared" si="14"/>
        <v/>
      </c>
      <c r="P87" s="19"/>
      <c r="Q87" s="32" t="str">
        <f t="shared" si="15"/>
        <v/>
      </c>
      <c r="R87" s="33" t="str">
        <f t="shared" si="16"/>
        <v/>
      </c>
      <c r="S87" s="34" t="str">
        <f t="shared" si="17"/>
        <v/>
      </c>
      <c r="V87" s="24" t="str">
        <f t="shared" si="18"/>
        <v/>
      </c>
    </row>
    <row r="88" spans="1:22" x14ac:dyDescent="0.2">
      <c r="A88" s="24" t="str">
        <f>IF(C88="","",SUMIF('Číselník škol'!$B$14:$B$23,'D jednotlivci'!D88,'Číselník škol'!$A$14:$A$23)&amp;"/"&amp;COUNTIF($D$20:D88,D88))</f>
        <v/>
      </c>
      <c r="C88" s="7"/>
      <c r="D88" s="8"/>
      <c r="E88" s="17"/>
      <c r="F88" s="32" t="str">
        <f t="shared" si="10"/>
        <v/>
      </c>
      <c r="G88" s="9"/>
      <c r="H88" s="48"/>
      <c r="I88" s="32" t="str">
        <f t="shared" si="11"/>
        <v/>
      </c>
      <c r="J88" s="18"/>
      <c r="K88" s="32" t="str">
        <f t="shared" si="12"/>
        <v/>
      </c>
      <c r="L88" s="18"/>
      <c r="M88" s="32" t="str">
        <f t="shared" si="13"/>
        <v/>
      </c>
      <c r="N88" s="19"/>
      <c r="O88" s="32" t="str">
        <f t="shared" si="14"/>
        <v/>
      </c>
      <c r="P88" s="19"/>
      <c r="Q88" s="32" t="str">
        <f t="shared" si="15"/>
        <v/>
      </c>
      <c r="R88" s="33" t="str">
        <f t="shared" si="16"/>
        <v/>
      </c>
      <c r="S88" s="34" t="str">
        <f t="shared" si="17"/>
        <v/>
      </c>
      <c r="V88" s="24" t="str">
        <f t="shared" si="18"/>
        <v/>
      </c>
    </row>
    <row r="89" spans="1:22" x14ac:dyDescent="0.2">
      <c r="A89" s="24" t="str">
        <f>IF(C89="","",SUMIF('Číselník škol'!$B$14:$B$23,'D jednotlivci'!D89,'Číselník škol'!$A$14:$A$23)&amp;"/"&amp;COUNTIF($D$20:D89,D89))</f>
        <v/>
      </c>
      <c r="C89" s="7"/>
      <c r="D89" s="8"/>
      <c r="E89" s="17"/>
      <c r="F89" s="32" t="str">
        <f t="shared" si="10"/>
        <v/>
      </c>
      <c r="G89" s="9"/>
      <c r="H89" s="48"/>
      <c r="I89" s="32" t="str">
        <f t="shared" si="11"/>
        <v/>
      </c>
      <c r="J89" s="18"/>
      <c r="K89" s="32" t="str">
        <f t="shared" si="12"/>
        <v/>
      </c>
      <c r="L89" s="18"/>
      <c r="M89" s="32" t="str">
        <f t="shared" si="13"/>
        <v/>
      </c>
      <c r="N89" s="19"/>
      <c r="O89" s="32" t="str">
        <f t="shared" si="14"/>
        <v/>
      </c>
      <c r="P89" s="19"/>
      <c r="Q89" s="32" t="str">
        <f t="shared" si="15"/>
        <v/>
      </c>
      <c r="R89" s="33" t="str">
        <f t="shared" si="16"/>
        <v/>
      </c>
      <c r="S89" s="34" t="str">
        <f t="shared" si="17"/>
        <v/>
      </c>
      <c r="V89" s="24" t="str">
        <f t="shared" si="18"/>
        <v/>
      </c>
    </row>
    <row r="90" spans="1:22" x14ac:dyDescent="0.2">
      <c r="A90" s="24" t="str">
        <f>IF(C90="","",SUMIF('Číselník škol'!$B$14:$B$23,'D jednotlivci'!D90,'Číselník škol'!$A$14:$A$23)&amp;"/"&amp;COUNTIF($D$20:D90,D90))</f>
        <v/>
      </c>
      <c r="C90" s="7"/>
      <c r="D90" s="8"/>
      <c r="E90" s="17"/>
      <c r="F90" s="32" t="str">
        <f t="shared" si="10"/>
        <v/>
      </c>
      <c r="G90" s="9"/>
      <c r="H90" s="48"/>
      <c r="I90" s="32" t="str">
        <f t="shared" si="11"/>
        <v/>
      </c>
      <c r="J90" s="18"/>
      <c r="K90" s="32" t="str">
        <f t="shared" si="12"/>
        <v/>
      </c>
      <c r="L90" s="18"/>
      <c r="M90" s="32" t="str">
        <f t="shared" si="13"/>
        <v/>
      </c>
      <c r="N90" s="19"/>
      <c r="O90" s="32" t="str">
        <f t="shared" si="14"/>
        <v/>
      </c>
      <c r="P90" s="19"/>
      <c r="Q90" s="32" t="str">
        <f t="shared" si="15"/>
        <v/>
      </c>
      <c r="R90" s="33" t="str">
        <f t="shared" si="16"/>
        <v/>
      </c>
      <c r="S90" s="34" t="str">
        <f t="shared" si="17"/>
        <v/>
      </c>
      <c r="V90" s="24" t="str">
        <f t="shared" si="18"/>
        <v/>
      </c>
    </row>
    <row r="91" spans="1:22" x14ac:dyDescent="0.2">
      <c r="A91" s="24" t="str">
        <f>IF(C91="","",SUMIF('Číselník škol'!$B$14:$B$23,'D jednotlivci'!D91,'Číselník škol'!$A$14:$A$23)&amp;"/"&amp;COUNTIF($D$20:D91,D91))</f>
        <v/>
      </c>
      <c r="C91" s="7"/>
      <c r="D91" s="8"/>
      <c r="E91" s="17"/>
      <c r="F91" s="32" t="str">
        <f t="shared" si="10"/>
        <v/>
      </c>
      <c r="G91" s="9"/>
      <c r="H91" s="48"/>
      <c r="I91" s="32" t="str">
        <f t="shared" si="11"/>
        <v/>
      </c>
      <c r="J91" s="18"/>
      <c r="K91" s="32" t="str">
        <f t="shared" si="12"/>
        <v/>
      </c>
      <c r="L91" s="18"/>
      <c r="M91" s="32" t="str">
        <f t="shared" si="13"/>
        <v/>
      </c>
      <c r="N91" s="19"/>
      <c r="O91" s="32" t="str">
        <f t="shared" si="14"/>
        <v/>
      </c>
      <c r="P91" s="19"/>
      <c r="Q91" s="32" t="str">
        <f t="shared" si="15"/>
        <v/>
      </c>
      <c r="R91" s="33" t="str">
        <f t="shared" si="16"/>
        <v/>
      </c>
      <c r="S91" s="34" t="str">
        <f t="shared" si="17"/>
        <v/>
      </c>
      <c r="V91" s="24" t="str">
        <f t="shared" si="18"/>
        <v/>
      </c>
    </row>
    <row r="92" spans="1:22" x14ac:dyDescent="0.2">
      <c r="A92" s="24" t="str">
        <f>IF(C92="","",SUMIF('Číselník škol'!$B$14:$B$23,'D jednotlivci'!D92,'Číselník škol'!$A$14:$A$23)&amp;"/"&amp;COUNTIF($D$20:D92,D92))</f>
        <v/>
      </c>
      <c r="C92" s="7"/>
      <c r="D92" s="8"/>
      <c r="E92" s="17"/>
      <c r="F92" s="32" t="str">
        <f t="shared" si="10"/>
        <v/>
      </c>
      <c r="G92" s="9"/>
      <c r="H92" s="48"/>
      <c r="I92" s="32" t="str">
        <f t="shared" si="11"/>
        <v/>
      </c>
      <c r="J92" s="18"/>
      <c r="K92" s="32" t="str">
        <f t="shared" si="12"/>
        <v/>
      </c>
      <c r="L92" s="18"/>
      <c r="M92" s="32" t="str">
        <f t="shared" si="13"/>
        <v/>
      </c>
      <c r="N92" s="19"/>
      <c r="O92" s="32" t="str">
        <f t="shared" si="14"/>
        <v/>
      </c>
      <c r="P92" s="19"/>
      <c r="Q92" s="32" t="str">
        <f t="shared" si="15"/>
        <v/>
      </c>
      <c r="R92" s="33" t="str">
        <f t="shared" si="16"/>
        <v/>
      </c>
      <c r="S92" s="34" t="str">
        <f t="shared" si="17"/>
        <v/>
      </c>
      <c r="V92" s="24" t="str">
        <f t="shared" si="18"/>
        <v/>
      </c>
    </row>
    <row r="93" spans="1:22" x14ac:dyDescent="0.2">
      <c r="A93" s="24" t="str">
        <f>IF(C93="","",SUMIF('Číselník škol'!$B$14:$B$23,'D jednotlivci'!D93,'Číselník škol'!$A$14:$A$23)&amp;"/"&amp;COUNTIF($D$20:D93,D93))</f>
        <v/>
      </c>
      <c r="C93" s="7"/>
      <c r="D93" s="8"/>
      <c r="E93" s="17"/>
      <c r="F93" s="32" t="str">
        <f t="shared" si="10"/>
        <v/>
      </c>
      <c r="G93" s="9"/>
      <c r="H93" s="48"/>
      <c r="I93" s="32" t="str">
        <f t="shared" si="11"/>
        <v/>
      </c>
      <c r="J93" s="18"/>
      <c r="K93" s="32" t="str">
        <f t="shared" si="12"/>
        <v/>
      </c>
      <c r="L93" s="18"/>
      <c r="M93" s="32" t="str">
        <f t="shared" si="13"/>
        <v/>
      </c>
      <c r="N93" s="19"/>
      <c r="O93" s="32" t="str">
        <f t="shared" si="14"/>
        <v/>
      </c>
      <c r="P93" s="19"/>
      <c r="Q93" s="32" t="str">
        <f t="shared" si="15"/>
        <v/>
      </c>
      <c r="R93" s="33" t="str">
        <f t="shared" si="16"/>
        <v/>
      </c>
      <c r="S93" s="34" t="str">
        <f t="shared" si="17"/>
        <v/>
      </c>
      <c r="V93" s="24" t="str">
        <f t="shared" si="18"/>
        <v/>
      </c>
    </row>
    <row r="94" spans="1:22" x14ac:dyDescent="0.2">
      <c r="A94" s="24" t="str">
        <f>IF(C94="","",SUMIF('Číselník škol'!$B$14:$B$23,'D jednotlivci'!D94,'Číselník škol'!$A$14:$A$23)&amp;"/"&amp;COUNTIF($D$20:D94,D94))</f>
        <v/>
      </c>
      <c r="C94" s="7"/>
      <c r="D94" s="8"/>
      <c r="E94" s="17"/>
      <c r="F94" s="32" t="str">
        <f t="shared" si="10"/>
        <v/>
      </c>
      <c r="G94" s="9"/>
      <c r="H94" s="48"/>
      <c r="I94" s="32" t="str">
        <f t="shared" si="11"/>
        <v/>
      </c>
      <c r="J94" s="18"/>
      <c r="K94" s="32" t="str">
        <f t="shared" si="12"/>
        <v/>
      </c>
      <c r="L94" s="18"/>
      <c r="M94" s="32" t="str">
        <f t="shared" si="13"/>
        <v/>
      </c>
      <c r="N94" s="19"/>
      <c r="O94" s="32" t="str">
        <f t="shared" si="14"/>
        <v/>
      </c>
      <c r="P94" s="19"/>
      <c r="Q94" s="32" t="str">
        <f t="shared" si="15"/>
        <v/>
      </c>
      <c r="R94" s="33" t="str">
        <f t="shared" si="16"/>
        <v/>
      </c>
      <c r="S94" s="34" t="str">
        <f t="shared" si="17"/>
        <v/>
      </c>
      <c r="V94" s="24" t="str">
        <f t="shared" si="18"/>
        <v/>
      </c>
    </row>
    <row r="95" spans="1:22" x14ac:dyDescent="0.2">
      <c r="A95" s="24" t="str">
        <f>IF(C95="","",SUMIF('Číselník škol'!$B$14:$B$23,'D jednotlivci'!D95,'Číselník škol'!$A$14:$A$23)&amp;"/"&amp;COUNTIF($D$20:D95,D95))</f>
        <v/>
      </c>
      <c r="C95" s="7"/>
      <c r="D95" s="8"/>
      <c r="E95" s="17"/>
      <c r="F95" s="32" t="str">
        <f t="shared" si="10"/>
        <v/>
      </c>
      <c r="G95" s="9"/>
      <c r="H95" s="48"/>
      <c r="I95" s="32" t="str">
        <f t="shared" si="11"/>
        <v/>
      </c>
      <c r="J95" s="18"/>
      <c r="K95" s="32" t="str">
        <f t="shared" si="12"/>
        <v/>
      </c>
      <c r="L95" s="18"/>
      <c r="M95" s="32" t="str">
        <f t="shared" si="13"/>
        <v/>
      </c>
      <c r="N95" s="19"/>
      <c r="O95" s="32" t="str">
        <f t="shared" si="14"/>
        <v/>
      </c>
      <c r="P95" s="19"/>
      <c r="Q95" s="32" t="str">
        <f t="shared" si="15"/>
        <v/>
      </c>
      <c r="R95" s="33" t="str">
        <f t="shared" si="16"/>
        <v/>
      </c>
      <c r="S95" s="34" t="str">
        <f t="shared" si="17"/>
        <v/>
      </c>
      <c r="V95" s="24" t="str">
        <f t="shared" si="18"/>
        <v/>
      </c>
    </row>
    <row r="96" spans="1:22" x14ac:dyDescent="0.2">
      <c r="A96" s="24" t="str">
        <f>IF(C96="","",SUMIF('Číselník škol'!$B$14:$B$23,'D jednotlivci'!D96,'Číselník škol'!$A$14:$A$23)&amp;"/"&amp;COUNTIF($D$20:D96,D96))</f>
        <v/>
      </c>
      <c r="C96" s="7"/>
      <c r="D96" s="8"/>
      <c r="E96" s="17"/>
      <c r="F96" s="32" t="str">
        <f t="shared" si="10"/>
        <v/>
      </c>
      <c r="G96" s="9"/>
      <c r="H96" s="48"/>
      <c r="I96" s="32" t="str">
        <f t="shared" si="11"/>
        <v/>
      </c>
      <c r="J96" s="18"/>
      <c r="K96" s="32" t="str">
        <f t="shared" si="12"/>
        <v/>
      </c>
      <c r="L96" s="18"/>
      <c r="M96" s="32" t="str">
        <f t="shared" si="13"/>
        <v/>
      </c>
      <c r="N96" s="19"/>
      <c r="O96" s="32" t="str">
        <f t="shared" si="14"/>
        <v/>
      </c>
      <c r="P96" s="19"/>
      <c r="Q96" s="32" t="str">
        <f t="shared" si="15"/>
        <v/>
      </c>
      <c r="R96" s="33" t="str">
        <f t="shared" si="16"/>
        <v/>
      </c>
      <c r="S96" s="34" t="str">
        <f t="shared" si="17"/>
        <v/>
      </c>
      <c r="V96" s="24" t="str">
        <f t="shared" si="18"/>
        <v/>
      </c>
    </row>
    <row r="97" spans="1:22" x14ac:dyDescent="0.2">
      <c r="A97" s="24" t="str">
        <f>IF(C97="","",SUMIF('Číselník škol'!$B$14:$B$23,'D jednotlivci'!D97,'Číselník škol'!$A$14:$A$23)&amp;"/"&amp;COUNTIF($D$20:D97,D97))</f>
        <v/>
      </c>
      <c r="C97" s="7"/>
      <c r="D97" s="8"/>
      <c r="E97" s="17"/>
      <c r="F97" s="32" t="str">
        <f t="shared" si="10"/>
        <v/>
      </c>
      <c r="G97" s="9"/>
      <c r="H97" s="48"/>
      <c r="I97" s="32" t="str">
        <f t="shared" si="11"/>
        <v/>
      </c>
      <c r="J97" s="18"/>
      <c r="K97" s="32" t="str">
        <f t="shared" si="12"/>
        <v/>
      </c>
      <c r="L97" s="18"/>
      <c r="M97" s="32" t="str">
        <f t="shared" si="13"/>
        <v/>
      </c>
      <c r="N97" s="19"/>
      <c r="O97" s="32" t="str">
        <f t="shared" si="14"/>
        <v/>
      </c>
      <c r="P97" s="19"/>
      <c r="Q97" s="32" t="str">
        <f t="shared" si="15"/>
        <v/>
      </c>
      <c r="R97" s="33" t="str">
        <f t="shared" si="16"/>
        <v/>
      </c>
      <c r="S97" s="34" t="str">
        <f t="shared" si="17"/>
        <v/>
      </c>
      <c r="V97" s="24" t="str">
        <f t="shared" si="18"/>
        <v/>
      </c>
    </row>
    <row r="98" spans="1:22" x14ac:dyDescent="0.2">
      <c r="A98" s="24" t="str">
        <f>IF(C98="","",SUMIF('Číselník škol'!$B$14:$B$23,'D jednotlivci'!D98,'Číselník škol'!$A$14:$A$23)&amp;"/"&amp;COUNTIF($D$20:D98,D98))</f>
        <v/>
      </c>
      <c r="C98" s="7"/>
      <c r="D98" s="8"/>
      <c r="E98" s="17"/>
      <c r="F98" s="32" t="str">
        <f t="shared" si="10"/>
        <v/>
      </c>
      <c r="G98" s="9"/>
      <c r="H98" s="48"/>
      <c r="I98" s="32" t="str">
        <f t="shared" si="11"/>
        <v/>
      </c>
      <c r="J98" s="18"/>
      <c r="K98" s="32" t="str">
        <f t="shared" si="12"/>
        <v/>
      </c>
      <c r="L98" s="18"/>
      <c r="M98" s="32" t="str">
        <f t="shared" si="13"/>
        <v/>
      </c>
      <c r="N98" s="19"/>
      <c r="O98" s="32" t="str">
        <f t="shared" si="14"/>
        <v/>
      </c>
      <c r="P98" s="19"/>
      <c r="Q98" s="32" t="str">
        <f t="shared" si="15"/>
        <v/>
      </c>
      <c r="R98" s="33" t="str">
        <f t="shared" si="16"/>
        <v/>
      </c>
      <c r="S98" s="34" t="str">
        <f t="shared" si="17"/>
        <v/>
      </c>
      <c r="V98" s="24" t="str">
        <f t="shared" si="18"/>
        <v/>
      </c>
    </row>
    <row r="99" spans="1:22" x14ac:dyDescent="0.2">
      <c r="A99" s="24" t="str">
        <f>IF(C99="","",SUMIF('Číselník škol'!$B$14:$B$23,'D jednotlivci'!D99,'Číselník škol'!$A$14:$A$23)&amp;"/"&amp;COUNTIF($D$20:D99,D99))</f>
        <v/>
      </c>
      <c r="C99" s="7"/>
      <c r="D99" s="8"/>
      <c r="E99" s="17"/>
      <c r="F99" s="32" t="str">
        <f t="shared" si="10"/>
        <v/>
      </c>
      <c r="G99" s="9"/>
      <c r="H99" s="48"/>
      <c r="I99" s="32" t="str">
        <f t="shared" si="11"/>
        <v/>
      </c>
      <c r="J99" s="18"/>
      <c r="K99" s="32" t="str">
        <f t="shared" si="12"/>
        <v/>
      </c>
      <c r="L99" s="18"/>
      <c r="M99" s="32" t="str">
        <f t="shared" si="13"/>
        <v/>
      </c>
      <c r="N99" s="19"/>
      <c r="O99" s="32" t="str">
        <f t="shared" si="14"/>
        <v/>
      </c>
      <c r="P99" s="19"/>
      <c r="Q99" s="32" t="str">
        <f t="shared" si="15"/>
        <v/>
      </c>
      <c r="R99" s="33" t="str">
        <f t="shared" si="16"/>
        <v/>
      </c>
      <c r="S99" s="34" t="str">
        <f t="shared" si="17"/>
        <v/>
      </c>
      <c r="V99" s="24" t="str">
        <f t="shared" si="18"/>
        <v/>
      </c>
    </row>
    <row r="100" spans="1:22" x14ac:dyDescent="0.2">
      <c r="A100" s="24" t="str">
        <f>IF(C100="","",SUMIF('Číselník škol'!$B$14:$B$23,'D jednotlivci'!D100,'Číselník škol'!$A$14:$A$23)&amp;"/"&amp;COUNTIF($D$20:D100,D100))</f>
        <v/>
      </c>
      <c r="C100" s="7"/>
      <c r="D100" s="8"/>
      <c r="E100" s="17"/>
      <c r="F100" s="32" t="str">
        <f t="shared" si="10"/>
        <v/>
      </c>
      <c r="G100" s="9"/>
      <c r="H100" s="48"/>
      <c r="I100" s="32" t="str">
        <f t="shared" si="11"/>
        <v/>
      </c>
      <c r="J100" s="18"/>
      <c r="K100" s="32" t="str">
        <f t="shared" si="12"/>
        <v/>
      </c>
      <c r="L100" s="18"/>
      <c r="M100" s="32" t="str">
        <f t="shared" si="13"/>
        <v/>
      </c>
      <c r="N100" s="19"/>
      <c r="O100" s="32" t="str">
        <f t="shared" si="14"/>
        <v/>
      </c>
      <c r="P100" s="19"/>
      <c r="Q100" s="32" t="str">
        <f t="shared" si="15"/>
        <v/>
      </c>
      <c r="R100" s="33" t="str">
        <f t="shared" si="16"/>
        <v/>
      </c>
      <c r="S100" s="34" t="str">
        <f t="shared" si="17"/>
        <v/>
      </c>
      <c r="V100" s="24" t="str">
        <f t="shared" si="18"/>
        <v/>
      </c>
    </row>
    <row r="101" spans="1:22" x14ac:dyDescent="0.2">
      <c r="A101" s="24" t="str">
        <f>IF(C101="","",SUMIF('Číselník škol'!$B$14:$B$23,'D jednotlivci'!D101,'Číselník škol'!$A$14:$A$23)&amp;"/"&amp;COUNTIF($D$20:D101,D101))</f>
        <v/>
      </c>
      <c r="C101" s="7"/>
      <c r="D101" s="8"/>
      <c r="E101" s="17"/>
      <c r="F101" s="32" t="str">
        <f t="shared" si="10"/>
        <v/>
      </c>
      <c r="G101" s="9"/>
      <c r="H101" s="48"/>
      <c r="I101" s="32" t="str">
        <f t="shared" si="11"/>
        <v/>
      </c>
      <c r="J101" s="18"/>
      <c r="K101" s="32" t="str">
        <f t="shared" si="12"/>
        <v/>
      </c>
      <c r="L101" s="18"/>
      <c r="M101" s="32" t="str">
        <f t="shared" si="13"/>
        <v/>
      </c>
      <c r="N101" s="19"/>
      <c r="O101" s="32" t="str">
        <f t="shared" si="14"/>
        <v/>
      </c>
      <c r="P101" s="19"/>
      <c r="Q101" s="32" t="str">
        <f t="shared" si="15"/>
        <v/>
      </c>
      <c r="R101" s="33" t="str">
        <f t="shared" si="16"/>
        <v/>
      </c>
      <c r="S101" s="34" t="str">
        <f t="shared" si="17"/>
        <v/>
      </c>
      <c r="V101" s="24" t="str">
        <f t="shared" si="18"/>
        <v/>
      </c>
    </row>
    <row r="102" spans="1:22" x14ac:dyDescent="0.2">
      <c r="A102" s="24" t="str">
        <f>IF(C102="","",SUMIF('Číselník škol'!$B$14:$B$23,'D jednotlivci'!D102,'Číselník škol'!$A$14:$A$23)&amp;"/"&amp;COUNTIF($D$20:D102,D102))</f>
        <v/>
      </c>
      <c r="C102" s="7"/>
      <c r="D102" s="8"/>
      <c r="E102" s="17"/>
      <c r="F102" s="32" t="str">
        <f t="shared" si="10"/>
        <v/>
      </c>
      <c r="G102" s="9"/>
      <c r="H102" s="48"/>
      <c r="I102" s="32" t="str">
        <f t="shared" si="11"/>
        <v/>
      </c>
      <c r="J102" s="18"/>
      <c r="K102" s="32" t="str">
        <f t="shared" si="12"/>
        <v/>
      </c>
      <c r="L102" s="18"/>
      <c r="M102" s="32" t="str">
        <f t="shared" si="13"/>
        <v/>
      </c>
      <c r="N102" s="19"/>
      <c r="O102" s="32" t="str">
        <f t="shared" si="14"/>
        <v/>
      </c>
      <c r="P102" s="19"/>
      <c r="Q102" s="32" t="str">
        <f t="shared" si="15"/>
        <v/>
      </c>
      <c r="R102" s="33" t="str">
        <f t="shared" si="16"/>
        <v/>
      </c>
      <c r="S102" s="34" t="str">
        <f t="shared" si="17"/>
        <v/>
      </c>
      <c r="V102" s="24" t="str">
        <f t="shared" si="18"/>
        <v/>
      </c>
    </row>
    <row r="103" spans="1:22" x14ac:dyDescent="0.2">
      <c r="A103" s="24" t="str">
        <f>IF(C103="","",SUMIF('Číselník škol'!$B$14:$B$23,'D jednotlivci'!D103,'Číselník škol'!$A$14:$A$23)&amp;"/"&amp;COUNTIF($D$20:D103,D103))</f>
        <v/>
      </c>
      <c r="C103" s="7"/>
      <c r="D103" s="8"/>
      <c r="E103" s="17"/>
      <c r="F103" s="32" t="str">
        <f t="shared" si="10"/>
        <v/>
      </c>
      <c r="G103" s="9"/>
      <c r="H103" s="48"/>
      <c r="I103" s="32" t="str">
        <f t="shared" si="11"/>
        <v/>
      </c>
      <c r="J103" s="18"/>
      <c r="K103" s="32" t="str">
        <f t="shared" si="12"/>
        <v/>
      </c>
      <c r="L103" s="18"/>
      <c r="M103" s="32" t="str">
        <f t="shared" si="13"/>
        <v/>
      </c>
      <c r="N103" s="19"/>
      <c r="O103" s="32" t="str">
        <f t="shared" si="14"/>
        <v/>
      </c>
      <c r="P103" s="19"/>
      <c r="Q103" s="32" t="str">
        <f t="shared" si="15"/>
        <v/>
      </c>
      <c r="R103" s="33" t="str">
        <f t="shared" si="16"/>
        <v/>
      </c>
      <c r="S103" s="34" t="str">
        <f t="shared" si="17"/>
        <v/>
      </c>
      <c r="V103" s="24" t="str">
        <f t="shared" si="18"/>
        <v/>
      </c>
    </row>
    <row r="104" spans="1:22" x14ac:dyDescent="0.2">
      <c r="A104" s="24" t="str">
        <f>IF(C104="","",SUMIF('Číselník škol'!$B$14:$B$23,'D jednotlivci'!D104,'Číselník škol'!$A$14:$A$23)&amp;"/"&amp;COUNTIF($D$20:D104,D104))</f>
        <v/>
      </c>
      <c r="C104" s="7"/>
      <c r="D104" s="8"/>
      <c r="E104" s="17"/>
      <c r="F104" s="32" t="str">
        <f t="shared" si="10"/>
        <v/>
      </c>
      <c r="G104" s="9"/>
      <c r="H104" s="48"/>
      <c r="I104" s="32" t="str">
        <f t="shared" si="11"/>
        <v/>
      </c>
      <c r="J104" s="18"/>
      <c r="K104" s="32" t="str">
        <f t="shared" si="12"/>
        <v/>
      </c>
      <c r="L104" s="18"/>
      <c r="M104" s="32" t="str">
        <f t="shared" si="13"/>
        <v/>
      </c>
      <c r="N104" s="19"/>
      <c r="O104" s="32" t="str">
        <f t="shared" si="14"/>
        <v/>
      </c>
      <c r="P104" s="19"/>
      <c r="Q104" s="32" t="str">
        <f t="shared" si="15"/>
        <v/>
      </c>
      <c r="R104" s="33" t="str">
        <f t="shared" si="16"/>
        <v/>
      </c>
      <c r="S104" s="34" t="str">
        <f t="shared" si="17"/>
        <v/>
      </c>
      <c r="V104" s="24" t="str">
        <f t="shared" si="18"/>
        <v/>
      </c>
    </row>
    <row r="105" spans="1:22" x14ac:dyDescent="0.2">
      <c r="A105" s="24" t="str">
        <f>IF(C105="","",SUMIF('Číselník škol'!$B$14:$B$23,'D jednotlivci'!D105,'Číselník škol'!$A$14:$A$23)&amp;"/"&amp;COUNTIF($D$20:D105,D105))</f>
        <v/>
      </c>
      <c r="C105" s="7"/>
      <c r="D105" s="8"/>
      <c r="E105" s="17"/>
      <c r="F105" s="32" t="str">
        <f t="shared" si="10"/>
        <v/>
      </c>
      <c r="G105" s="9"/>
      <c r="H105" s="48"/>
      <c r="I105" s="32" t="str">
        <f t="shared" si="11"/>
        <v/>
      </c>
      <c r="J105" s="18"/>
      <c r="K105" s="32" t="str">
        <f t="shared" si="12"/>
        <v/>
      </c>
      <c r="L105" s="18"/>
      <c r="M105" s="32" t="str">
        <f t="shared" si="13"/>
        <v/>
      </c>
      <c r="N105" s="19"/>
      <c r="O105" s="32" t="str">
        <f t="shared" si="14"/>
        <v/>
      </c>
      <c r="P105" s="19"/>
      <c r="Q105" s="32" t="str">
        <f t="shared" si="15"/>
        <v/>
      </c>
      <c r="R105" s="33" t="str">
        <f t="shared" si="16"/>
        <v/>
      </c>
      <c r="S105" s="34" t="str">
        <f t="shared" si="17"/>
        <v/>
      </c>
      <c r="V105" s="24" t="str">
        <f t="shared" si="18"/>
        <v/>
      </c>
    </row>
    <row r="106" spans="1:22" x14ac:dyDescent="0.2">
      <c r="A106" s="24" t="str">
        <f>IF(C106="","",SUMIF('Číselník škol'!$B$14:$B$23,'D jednotlivci'!D106,'Číselník škol'!$A$14:$A$23)&amp;"/"&amp;COUNTIF($D$20:D106,D106))</f>
        <v/>
      </c>
      <c r="C106" s="7"/>
      <c r="D106" s="8"/>
      <c r="E106" s="17"/>
      <c r="F106" s="32" t="str">
        <f t="shared" si="10"/>
        <v/>
      </c>
      <c r="G106" s="9"/>
      <c r="H106" s="48"/>
      <c r="I106" s="32" t="str">
        <f t="shared" si="11"/>
        <v/>
      </c>
      <c r="J106" s="18"/>
      <c r="K106" s="32" t="str">
        <f t="shared" si="12"/>
        <v/>
      </c>
      <c r="L106" s="18"/>
      <c r="M106" s="32" t="str">
        <f t="shared" si="13"/>
        <v/>
      </c>
      <c r="N106" s="19"/>
      <c r="O106" s="32" t="str">
        <f t="shared" si="14"/>
        <v/>
      </c>
      <c r="P106" s="19"/>
      <c r="Q106" s="32" t="str">
        <f t="shared" si="15"/>
        <v/>
      </c>
      <c r="R106" s="33" t="str">
        <f t="shared" si="16"/>
        <v/>
      </c>
      <c r="S106" s="34" t="str">
        <f t="shared" si="17"/>
        <v/>
      </c>
      <c r="V106" s="24" t="str">
        <f t="shared" si="18"/>
        <v/>
      </c>
    </row>
    <row r="107" spans="1:22" x14ac:dyDescent="0.2">
      <c r="A107" s="24" t="str">
        <f>IF(C107="","",SUMIF('Číselník škol'!$B$14:$B$23,'D jednotlivci'!D107,'Číselník škol'!$A$14:$A$23)&amp;"/"&amp;COUNTIF($D$20:D107,D107))</f>
        <v/>
      </c>
      <c r="C107" s="7"/>
      <c r="D107" s="8"/>
      <c r="E107" s="17"/>
      <c r="F107" s="32" t="str">
        <f t="shared" si="10"/>
        <v/>
      </c>
      <c r="G107" s="9"/>
      <c r="H107" s="48"/>
      <c r="I107" s="32" t="str">
        <f t="shared" si="11"/>
        <v/>
      </c>
      <c r="J107" s="18"/>
      <c r="K107" s="32" t="str">
        <f t="shared" si="12"/>
        <v/>
      </c>
      <c r="L107" s="18"/>
      <c r="M107" s="32" t="str">
        <f t="shared" si="13"/>
        <v/>
      </c>
      <c r="N107" s="19"/>
      <c r="O107" s="32" t="str">
        <f t="shared" si="14"/>
        <v/>
      </c>
      <c r="P107" s="19"/>
      <c r="Q107" s="32" t="str">
        <f t="shared" si="15"/>
        <v/>
      </c>
      <c r="R107" s="33" t="str">
        <f t="shared" si="16"/>
        <v/>
      </c>
      <c r="S107" s="34" t="str">
        <f t="shared" si="17"/>
        <v/>
      </c>
      <c r="V107" s="24" t="str">
        <f t="shared" si="18"/>
        <v/>
      </c>
    </row>
    <row r="108" spans="1:22" x14ac:dyDescent="0.2">
      <c r="A108" s="24" t="str">
        <f>IF(C108="","",SUMIF('Číselník škol'!$B$14:$B$23,'D jednotlivci'!D108,'Číselník škol'!$A$14:$A$23)&amp;"/"&amp;COUNTIF($D$20:D108,D108))</f>
        <v/>
      </c>
      <c r="C108" s="7"/>
      <c r="D108" s="8"/>
      <c r="E108" s="17"/>
      <c r="F108" s="32" t="str">
        <f t="shared" si="10"/>
        <v/>
      </c>
      <c r="G108" s="9"/>
      <c r="H108" s="48"/>
      <c r="I108" s="32" t="str">
        <f t="shared" si="11"/>
        <v/>
      </c>
      <c r="J108" s="18"/>
      <c r="K108" s="32" t="str">
        <f t="shared" si="12"/>
        <v/>
      </c>
      <c r="L108" s="18"/>
      <c r="M108" s="32" t="str">
        <f t="shared" si="13"/>
        <v/>
      </c>
      <c r="N108" s="19"/>
      <c r="O108" s="32" t="str">
        <f t="shared" si="14"/>
        <v/>
      </c>
      <c r="P108" s="19"/>
      <c r="Q108" s="32" t="str">
        <f t="shared" si="15"/>
        <v/>
      </c>
      <c r="R108" s="33" t="str">
        <f t="shared" si="16"/>
        <v/>
      </c>
      <c r="S108" s="34" t="str">
        <f t="shared" si="17"/>
        <v/>
      </c>
      <c r="V108" s="24" t="str">
        <f t="shared" si="18"/>
        <v/>
      </c>
    </row>
    <row r="109" spans="1:22" x14ac:dyDescent="0.2">
      <c r="A109" s="24" t="str">
        <f>IF(C109="","",SUMIF('Číselník škol'!$B$14:$B$23,'D jednotlivci'!D109,'Číselník škol'!$A$14:$A$23)&amp;"/"&amp;COUNTIF($D$20:D109,D109))</f>
        <v/>
      </c>
      <c r="C109" s="7"/>
      <c r="D109" s="8"/>
      <c r="E109" s="17"/>
      <c r="F109" s="32" t="str">
        <f t="shared" si="10"/>
        <v/>
      </c>
      <c r="G109" s="9"/>
      <c r="H109" s="48"/>
      <c r="I109" s="32" t="str">
        <f t="shared" si="11"/>
        <v/>
      </c>
      <c r="J109" s="18"/>
      <c r="K109" s="32" t="str">
        <f t="shared" si="12"/>
        <v/>
      </c>
      <c r="L109" s="18"/>
      <c r="M109" s="32" t="str">
        <f t="shared" si="13"/>
        <v/>
      </c>
      <c r="N109" s="19"/>
      <c r="O109" s="32" t="str">
        <f t="shared" si="14"/>
        <v/>
      </c>
      <c r="P109" s="19"/>
      <c r="Q109" s="32" t="str">
        <f t="shared" si="15"/>
        <v/>
      </c>
      <c r="R109" s="33" t="str">
        <f t="shared" si="16"/>
        <v/>
      </c>
      <c r="S109" s="34" t="str">
        <f t="shared" si="17"/>
        <v/>
      </c>
      <c r="V109" s="24" t="str">
        <f t="shared" si="18"/>
        <v/>
      </c>
    </row>
    <row r="110" spans="1:22" x14ac:dyDescent="0.2">
      <c r="A110" s="24" t="str">
        <f>IF(C110="","",SUMIF('Číselník škol'!$B$14:$B$23,'D jednotlivci'!D110,'Číselník škol'!$A$14:$A$23)&amp;"/"&amp;COUNTIF($D$20:D110,D110))</f>
        <v/>
      </c>
      <c r="C110" s="7"/>
      <c r="D110" s="8"/>
      <c r="E110" s="17"/>
      <c r="F110" s="32" t="str">
        <f t="shared" si="10"/>
        <v/>
      </c>
      <c r="G110" s="9"/>
      <c r="H110" s="48"/>
      <c r="I110" s="32" t="str">
        <f t="shared" si="11"/>
        <v/>
      </c>
      <c r="J110" s="18"/>
      <c r="K110" s="32" t="str">
        <f t="shared" si="12"/>
        <v/>
      </c>
      <c r="L110" s="18"/>
      <c r="M110" s="32" t="str">
        <f t="shared" si="13"/>
        <v/>
      </c>
      <c r="N110" s="19"/>
      <c r="O110" s="32" t="str">
        <f t="shared" si="14"/>
        <v/>
      </c>
      <c r="P110" s="19"/>
      <c r="Q110" s="32" t="str">
        <f t="shared" si="15"/>
        <v/>
      </c>
      <c r="R110" s="33" t="str">
        <f t="shared" si="16"/>
        <v/>
      </c>
      <c r="S110" s="34" t="str">
        <f t="shared" si="17"/>
        <v/>
      </c>
      <c r="V110" s="24" t="str">
        <f t="shared" si="18"/>
        <v/>
      </c>
    </row>
    <row r="111" spans="1:22" x14ac:dyDescent="0.2">
      <c r="A111" s="24" t="str">
        <f>IF(C111="","",SUMIF('Číselník škol'!$B$14:$B$23,'D jednotlivci'!D111,'Číselník škol'!$A$14:$A$23)&amp;"/"&amp;COUNTIF($D$20:D111,D111))</f>
        <v/>
      </c>
      <c r="C111" s="7"/>
      <c r="D111" s="8"/>
      <c r="E111" s="17"/>
      <c r="F111" s="32" t="str">
        <f t="shared" si="10"/>
        <v/>
      </c>
      <c r="G111" s="9"/>
      <c r="H111" s="48"/>
      <c r="I111" s="32" t="str">
        <f t="shared" si="11"/>
        <v/>
      </c>
      <c r="J111" s="18"/>
      <c r="K111" s="32" t="str">
        <f t="shared" si="12"/>
        <v/>
      </c>
      <c r="L111" s="18"/>
      <c r="M111" s="32" t="str">
        <f t="shared" si="13"/>
        <v/>
      </c>
      <c r="N111" s="19"/>
      <c r="O111" s="32" t="str">
        <f t="shared" si="14"/>
        <v/>
      </c>
      <c r="P111" s="19"/>
      <c r="Q111" s="32" t="str">
        <f t="shared" si="15"/>
        <v/>
      </c>
      <c r="R111" s="33" t="str">
        <f t="shared" si="16"/>
        <v/>
      </c>
      <c r="S111" s="34" t="str">
        <f t="shared" si="17"/>
        <v/>
      </c>
      <c r="V111" s="24" t="str">
        <f t="shared" si="18"/>
        <v/>
      </c>
    </row>
    <row r="112" spans="1:22" x14ac:dyDescent="0.2">
      <c r="A112" s="24" t="str">
        <f>IF(C112="","",SUMIF('Číselník škol'!$B$14:$B$23,'D jednotlivci'!D112,'Číselník škol'!$A$14:$A$23)&amp;"/"&amp;COUNTIF($D$20:D112,D112))</f>
        <v/>
      </c>
      <c r="C112" s="7"/>
      <c r="D112" s="8"/>
      <c r="E112" s="17"/>
      <c r="F112" s="32" t="str">
        <f t="shared" si="10"/>
        <v/>
      </c>
      <c r="G112" s="9"/>
      <c r="H112" s="48"/>
      <c r="I112" s="32" t="str">
        <f t="shared" si="11"/>
        <v/>
      </c>
      <c r="J112" s="18"/>
      <c r="K112" s="32" t="str">
        <f t="shared" si="12"/>
        <v/>
      </c>
      <c r="L112" s="18"/>
      <c r="M112" s="32" t="str">
        <f t="shared" si="13"/>
        <v/>
      </c>
      <c r="N112" s="19"/>
      <c r="O112" s="32" t="str">
        <f t="shared" si="14"/>
        <v/>
      </c>
      <c r="P112" s="19"/>
      <c r="Q112" s="32" t="str">
        <f t="shared" si="15"/>
        <v/>
      </c>
      <c r="R112" s="33" t="str">
        <f t="shared" si="16"/>
        <v/>
      </c>
      <c r="S112" s="34" t="str">
        <f t="shared" si="17"/>
        <v/>
      </c>
      <c r="V112" s="24" t="str">
        <f t="shared" si="18"/>
        <v/>
      </c>
    </row>
    <row r="113" spans="1:22" x14ac:dyDescent="0.2">
      <c r="A113" s="24" t="str">
        <f>IF(C113="","",SUMIF('Číselník škol'!$B$14:$B$23,'D jednotlivci'!D113,'Číselník škol'!$A$14:$A$23)&amp;"/"&amp;COUNTIF($D$20:D113,D113))</f>
        <v/>
      </c>
      <c r="C113" s="7"/>
      <c r="D113" s="8"/>
      <c r="E113" s="17"/>
      <c r="F113" s="32" t="str">
        <f t="shared" si="10"/>
        <v/>
      </c>
      <c r="G113" s="9"/>
      <c r="H113" s="48"/>
      <c r="I113" s="32" t="str">
        <f t="shared" si="11"/>
        <v/>
      </c>
      <c r="J113" s="18"/>
      <c r="K113" s="32" t="str">
        <f t="shared" si="12"/>
        <v/>
      </c>
      <c r="L113" s="18"/>
      <c r="M113" s="32" t="str">
        <f t="shared" si="13"/>
        <v/>
      </c>
      <c r="N113" s="19"/>
      <c r="O113" s="32" t="str">
        <f t="shared" si="14"/>
        <v/>
      </c>
      <c r="P113" s="19"/>
      <c r="Q113" s="32" t="str">
        <f t="shared" si="15"/>
        <v/>
      </c>
      <c r="R113" s="33" t="str">
        <f t="shared" si="16"/>
        <v/>
      </c>
      <c r="S113" s="34" t="str">
        <f t="shared" si="17"/>
        <v/>
      </c>
      <c r="V113" s="24" t="str">
        <f t="shared" si="18"/>
        <v/>
      </c>
    </row>
    <row r="114" spans="1:22" x14ac:dyDescent="0.2">
      <c r="A114" s="24" t="str">
        <f>IF(C114="","",SUMIF('Číselník škol'!$B$14:$B$23,'D jednotlivci'!D114,'Číselník škol'!$A$14:$A$23)&amp;"/"&amp;COUNTIF($D$20:D114,D114))</f>
        <v/>
      </c>
      <c r="C114" s="7"/>
      <c r="D114" s="8"/>
      <c r="E114" s="17"/>
      <c r="F114" s="32" t="str">
        <f t="shared" si="10"/>
        <v/>
      </c>
      <c r="G114" s="9"/>
      <c r="H114" s="48"/>
      <c r="I114" s="32" t="str">
        <f t="shared" si="11"/>
        <v/>
      </c>
      <c r="J114" s="18"/>
      <c r="K114" s="32" t="str">
        <f t="shared" si="12"/>
        <v/>
      </c>
      <c r="L114" s="18"/>
      <c r="M114" s="32" t="str">
        <f t="shared" si="13"/>
        <v/>
      </c>
      <c r="N114" s="19"/>
      <c r="O114" s="32" t="str">
        <f t="shared" si="14"/>
        <v/>
      </c>
      <c r="P114" s="19"/>
      <c r="Q114" s="32" t="str">
        <f t="shared" si="15"/>
        <v/>
      </c>
      <c r="R114" s="33" t="str">
        <f t="shared" si="16"/>
        <v/>
      </c>
      <c r="S114" s="34" t="str">
        <f t="shared" si="17"/>
        <v/>
      </c>
      <c r="V114" s="24" t="str">
        <f t="shared" si="18"/>
        <v/>
      </c>
    </row>
    <row r="115" spans="1:22" x14ac:dyDescent="0.2">
      <c r="A115" s="24" t="str">
        <f>IF(C115="","",SUMIF('Číselník škol'!$B$14:$B$23,'D jednotlivci'!D115,'Číselník škol'!$A$14:$A$23)&amp;"/"&amp;COUNTIF($D$20:D115,D115))</f>
        <v/>
      </c>
      <c r="C115" s="7"/>
      <c r="D115" s="8"/>
      <c r="E115" s="17"/>
      <c r="F115" s="32" t="str">
        <f t="shared" si="10"/>
        <v/>
      </c>
      <c r="G115" s="9"/>
      <c r="H115" s="48"/>
      <c r="I115" s="32" t="str">
        <f t="shared" si="11"/>
        <v/>
      </c>
      <c r="J115" s="18"/>
      <c r="K115" s="32" t="str">
        <f t="shared" si="12"/>
        <v/>
      </c>
      <c r="L115" s="18"/>
      <c r="M115" s="32" t="str">
        <f t="shared" si="13"/>
        <v/>
      </c>
      <c r="N115" s="19"/>
      <c r="O115" s="32" t="str">
        <f t="shared" si="14"/>
        <v/>
      </c>
      <c r="P115" s="19"/>
      <c r="Q115" s="32" t="str">
        <f t="shared" si="15"/>
        <v/>
      </c>
      <c r="R115" s="33" t="str">
        <f t="shared" si="16"/>
        <v/>
      </c>
      <c r="S115" s="34" t="str">
        <f t="shared" si="17"/>
        <v/>
      </c>
      <c r="V115" s="24" t="str">
        <f t="shared" si="18"/>
        <v/>
      </c>
    </row>
    <row r="116" spans="1:22" x14ac:dyDescent="0.2">
      <c r="A116" s="24" t="str">
        <f>IF(C116="","",SUMIF('Číselník škol'!$B$14:$B$23,'D jednotlivci'!D116,'Číselník škol'!$A$14:$A$23)&amp;"/"&amp;COUNTIF($D$20:D116,D116))</f>
        <v/>
      </c>
      <c r="C116" s="7"/>
      <c r="D116" s="8"/>
      <c r="E116" s="17"/>
      <c r="F116" s="32" t="str">
        <f t="shared" si="10"/>
        <v/>
      </c>
      <c r="G116" s="9"/>
      <c r="H116" s="48"/>
      <c r="I116" s="32" t="str">
        <f t="shared" si="11"/>
        <v/>
      </c>
      <c r="J116" s="18"/>
      <c r="K116" s="32" t="str">
        <f t="shared" si="12"/>
        <v/>
      </c>
      <c r="L116" s="18"/>
      <c r="M116" s="32" t="str">
        <f t="shared" si="13"/>
        <v/>
      </c>
      <c r="N116" s="19"/>
      <c r="O116" s="32" t="str">
        <f t="shared" si="14"/>
        <v/>
      </c>
      <c r="P116" s="19"/>
      <c r="Q116" s="32" t="str">
        <f t="shared" si="15"/>
        <v/>
      </c>
      <c r="R116" s="33" t="str">
        <f t="shared" si="16"/>
        <v/>
      </c>
      <c r="S116" s="34" t="str">
        <f t="shared" si="17"/>
        <v/>
      </c>
      <c r="V116" s="24" t="str">
        <f t="shared" si="18"/>
        <v/>
      </c>
    </row>
    <row r="117" spans="1:22" x14ac:dyDescent="0.2">
      <c r="A117" s="24" t="str">
        <f>IF(C117="","",SUMIF('Číselník škol'!$B$14:$B$23,'D jednotlivci'!D117,'Číselník škol'!$A$14:$A$23)&amp;"/"&amp;COUNTIF($D$20:D117,D117))</f>
        <v/>
      </c>
      <c r="C117" s="7"/>
      <c r="D117" s="8"/>
      <c r="E117" s="17"/>
      <c r="F117" s="32" t="str">
        <f t="shared" si="10"/>
        <v/>
      </c>
      <c r="G117" s="9"/>
      <c r="H117" s="48"/>
      <c r="I117" s="32" t="str">
        <f t="shared" si="11"/>
        <v/>
      </c>
      <c r="J117" s="18"/>
      <c r="K117" s="32" t="str">
        <f t="shared" si="12"/>
        <v/>
      </c>
      <c r="L117" s="18"/>
      <c r="M117" s="32" t="str">
        <f t="shared" si="13"/>
        <v/>
      </c>
      <c r="N117" s="19"/>
      <c r="O117" s="32" t="str">
        <f t="shared" si="14"/>
        <v/>
      </c>
      <c r="P117" s="19"/>
      <c r="Q117" s="32" t="str">
        <f t="shared" si="15"/>
        <v/>
      </c>
      <c r="R117" s="33" t="str">
        <f t="shared" si="16"/>
        <v/>
      </c>
      <c r="S117" s="34" t="str">
        <f t="shared" si="17"/>
        <v/>
      </c>
      <c r="V117" s="24" t="str">
        <f t="shared" si="18"/>
        <v/>
      </c>
    </row>
    <row r="118" spans="1:22" x14ac:dyDescent="0.2">
      <c r="A118" s="24" t="str">
        <f>IF(C118="","",SUMIF('Číselník škol'!$B$14:$B$23,'D jednotlivci'!D118,'Číselník škol'!$A$14:$A$23)&amp;"/"&amp;COUNTIF($D$20:D118,D118))</f>
        <v/>
      </c>
      <c r="C118" s="7"/>
      <c r="D118" s="8"/>
      <c r="E118" s="17"/>
      <c r="F118" s="32" t="str">
        <f t="shared" si="10"/>
        <v/>
      </c>
      <c r="G118" s="9"/>
      <c r="H118" s="48"/>
      <c r="I118" s="32" t="str">
        <f t="shared" si="11"/>
        <v/>
      </c>
      <c r="J118" s="18"/>
      <c r="K118" s="32" t="str">
        <f t="shared" si="12"/>
        <v/>
      </c>
      <c r="L118" s="18"/>
      <c r="M118" s="32" t="str">
        <f t="shared" si="13"/>
        <v/>
      </c>
      <c r="N118" s="19"/>
      <c r="O118" s="32" t="str">
        <f t="shared" si="14"/>
        <v/>
      </c>
      <c r="P118" s="19"/>
      <c r="Q118" s="32" t="str">
        <f t="shared" si="15"/>
        <v/>
      </c>
      <c r="R118" s="33" t="str">
        <f t="shared" si="16"/>
        <v/>
      </c>
      <c r="S118" s="34" t="str">
        <f t="shared" si="17"/>
        <v/>
      </c>
      <c r="V118" s="24" t="str">
        <f t="shared" si="18"/>
        <v/>
      </c>
    </row>
    <row r="119" spans="1:22" x14ac:dyDescent="0.2">
      <c r="A119" s="24" t="str">
        <f>IF(C119="","",SUMIF('Číselník škol'!$B$14:$B$23,'D jednotlivci'!D119,'Číselník škol'!$A$14:$A$23)&amp;"/"&amp;COUNTIF($D$20:D119,D119))</f>
        <v/>
      </c>
      <c r="C119" s="7"/>
      <c r="D119" s="8"/>
      <c r="E119" s="17"/>
      <c r="F119" s="32" t="str">
        <f t="shared" si="10"/>
        <v/>
      </c>
      <c r="G119" s="9"/>
      <c r="H119" s="48"/>
      <c r="I119" s="32" t="str">
        <f t="shared" si="11"/>
        <v/>
      </c>
      <c r="J119" s="18"/>
      <c r="K119" s="32" t="str">
        <f t="shared" si="12"/>
        <v/>
      </c>
      <c r="L119" s="18"/>
      <c r="M119" s="32" t="str">
        <f t="shared" si="13"/>
        <v/>
      </c>
      <c r="N119" s="19"/>
      <c r="O119" s="32" t="str">
        <f t="shared" si="14"/>
        <v/>
      </c>
      <c r="P119" s="19"/>
      <c r="Q119" s="32" t="str">
        <f t="shared" si="15"/>
        <v/>
      </c>
      <c r="R119" s="33" t="str">
        <f t="shared" si="16"/>
        <v/>
      </c>
      <c r="S119" s="34" t="str">
        <f t="shared" si="17"/>
        <v/>
      </c>
      <c r="V119" s="24" t="str">
        <f t="shared" si="18"/>
        <v/>
      </c>
    </row>
    <row r="120" spans="1:22" x14ac:dyDescent="0.2">
      <c r="A120" s="24" t="str">
        <f>IF(C120="","",SUMIF('Číselník škol'!$B$14:$B$23,'D jednotlivci'!D120,'Číselník škol'!$A$14:$A$23)&amp;"/"&amp;COUNTIF($D$20:D120,D120))</f>
        <v/>
      </c>
      <c r="C120" s="7"/>
      <c r="D120" s="8"/>
      <c r="E120" s="17"/>
      <c r="F120" s="32" t="str">
        <f t="shared" si="10"/>
        <v/>
      </c>
      <c r="G120" s="9"/>
      <c r="H120" s="48"/>
      <c r="I120" s="32" t="str">
        <f t="shared" si="11"/>
        <v/>
      </c>
      <c r="J120" s="18"/>
      <c r="K120" s="32" t="str">
        <f t="shared" si="12"/>
        <v/>
      </c>
      <c r="L120" s="18"/>
      <c r="M120" s="32" t="str">
        <f t="shared" si="13"/>
        <v/>
      </c>
      <c r="N120" s="19"/>
      <c r="O120" s="32" t="str">
        <f t="shared" si="14"/>
        <v/>
      </c>
      <c r="P120" s="19"/>
      <c r="Q120" s="32" t="str">
        <f t="shared" si="15"/>
        <v/>
      </c>
      <c r="R120" s="33" t="str">
        <f t="shared" si="16"/>
        <v/>
      </c>
      <c r="S120" s="34" t="str">
        <f t="shared" si="17"/>
        <v/>
      </c>
      <c r="V120" s="24" t="str">
        <f t="shared" si="18"/>
        <v/>
      </c>
    </row>
    <row r="121" spans="1:22" x14ac:dyDescent="0.2">
      <c r="A121" s="24" t="str">
        <f>IF(C121="","",SUMIF('Číselník škol'!$B$14:$B$23,'D jednotlivci'!D121,'Číselník škol'!$A$14:$A$23)&amp;"/"&amp;COUNTIF($D$20:D121,D121))</f>
        <v/>
      </c>
      <c r="C121" s="7"/>
      <c r="D121" s="8"/>
      <c r="E121" s="17"/>
      <c r="F121" s="32" t="str">
        <f t="shared" si="10"/>
        <v/>
      </c>
      <c r="G121" s="9"/>
      <c r="H121" s="48"/>
      <c r="I121" s="32" t="str">
        <f t="shared" si="11"/>
        <v/>
      </c>
      <c r="J121" s="18"/>
      <c r="K121" s="32" t="str">
        <f t="shared" si="12"/>
        <v/>
      </c>
      <c r="L121" s="18"/>
      <c r="M121" s="32" t="str">
        <f t="shared" si="13"/>
        <v/>
      </c>
      <c r="N121" s="19"/>
      <c r="O121" s="32" t="str">
        <f t="shared" si="14"/>
        <v/>
      </c>
      <c r="P121" s="19"/>
      <c r="Q121" s="32" t="str">
        <f t="shared" si="15"/>
        <v/>
      </c>
      <c r="R121" s="33" t="str">
        <f t="shared" si="16"/>
        <v/>
      </c>
      <c r="S121" s="34" t="str">
        <f t="shared" si="17"/>
        <v/>
      </c>
      <c r="V121" s="24" t="str">
        <f t="shared" si="18"/>
        <v/>
      </c>
    </row>
    <row r="122" spans="1:22" x14ac:dyDescent="0.2">
      <c r="A122" s="24" t="str">
        <f>IF(C122="","",SUMIF('Číselník škol'!$B$14:$B$23,'D jednotlivci'!D122,'Číselník škol'!$A$14:$A$23)&amp;"/"&amp;COUNTIF($D$20:D122,D122))</f>
        <v/>
      </c>
      <c r="C122" s="7"/>
      <c r="D122" s="8"/>
      <c r="E122" s="17"/>
      <c r="F122" s="32" t="str">
        <f t="shared" si="10"/>
        <v/>
      </c>
      <c r="G122" s="9"/>
      <c r="H122" s="48"/>
      <c r="I122" s="32" t="str">
        <f t="shared" si="11"/>
        <v/>
      </c>
      <c r="J122" s="18"/>
      <c r="K122" s="32" t="str">
        <f t="shared" si="12"/>
        <v/>
      </c>
      <c r="L122" s="18"/>
      <c r="M122" s="32" t="str">
        <f t="shared" si="13"/>
        <v/>
      </c>
      <c r="N122" s="19"/>
      <c r="O122" s="32" t="str">
        <f t="shared" si="14"/>
        <v/>
      </c>
      <c r="P122" s="19"/>
      <c r="Q122" s="32" t="str">
        <f t="shared" si="15"/>
        <v/>
      </c>
      <c r="R122" s="33" t="str">
        <f t="shared" si="16"/>
        <v/>
      </c>
      <c r="S122" s="34" t="str">
        <f t="shared" si="17"/>
        <v/>
      </c>
      <c r="V122" s="24" t="str">
        <f t="shared" si="18"/>
        <v/>
      </c>
    </row>
    <row r="123" spans="1:22" x14ac:dyDescent="0.2">
      <c r="A123" s="24" t="str">
        <f>IF(C123="","",SUMIF('Číselník škol'!$B$14:$B$23,'D jednotlivci'!D123,'Číselník škol'!$A$14:$A$23)&amp;"/"&amp;COUNTIF($D$20:D123,D123))</f>
        <v/>
      </c>
      <c r="C123" s="7"/>
      <c r="D123" s="8"/>
      <c r="E123" s="17"/>
      <c r="F123" s="32" t="str">
        <f t="shared" si="10"/>
        <v/>
      </c>
      <c r="G123" s="9"/>
      <c r="H123" s="48"/>
      <c r="I123" s="32" t="str">
        <f t="shared" si="11"/>
        <v/>
      </c>
      <c r="J123" s="18"/>
      <c r="K123" s="32" t="str">
        <f t="shared" si="12"/>
        <v/>
      </c>
      <c r="L123" s="18"/>
      <c r="M123" s="32" t="str">
        <f t="shared" si="13"/>
        <v/>
      </c>
      <c r="N123" s="19"/>
      <c r="O123" s="32" t="str">
        <f t="shared" si="14"/>
        <v/>
      </c>
      <c r="P123" s="19"/>
      <c r="Q123" s="32" t="str">
        <f t="shared" si="15"/>
        <v/>
      </c>
      <c r="R123" s="33" t="str">
        <f t="shared" si="16"/>
        <v/>
      </c>
      <c r="S123" s="34" t="str">
        <f t="shared" si="17"/>
        <v/>
      </c>
      <c r="V123" s="24" t="str">
        <f t="shared" si="18"/>
        <v/>
      </c>
    </row>
    <row r="124" spans="1:22" x14ac:dyDescent="0.2">
      <c r="A124" s="24" t="str">
        <f>IF(C124="","",SUMIF('Číselník škol'!$B$14:$B$23,'D jednotlivci'!D124,'Číselník škol'!$A$14:$A$23)&amp;"/"&amp;COUNTIF($D$20:D124,D124))</f>
        <v/>
      </c>
      <c r="C124" s="7"/>
      <c r="D124" s="8"/>
      <c r="E124" s="17"/>
      <c r="F124" s="32" t="str">
        <f t="shared" si="10"/>
        <v/>
      </c>
      <c r="G124" s="9"/>
      <c r="H124" s="48"/>
      <c r="I124" s="32" t="str">
        <f t="shared" si="11"/>
        <v/>
      </c>
      <c r="J124" s="18"/>
      <c r="K124" s="32" t="str">
        <f t="shared" si="12"/>
        <v/>
      </c>
      <c r="L124" s="18"/>
      <c r="M124" s="32" t="str">
        <f t="shared" si="13"/>
        <v/>
      </c>
      <c r="N124" s="19"/>
      <c r="O124" s="32" t="str">
        <f t="shared" si="14"/>
        <v/>
      </c>
      <c r="P124" s="19"/>
      <c r="Q124" s="32" t="str">
        <f t="shared" si="15"/>
        <v/>
      </c>
      <c r="R124" s="33" t="str">
        <f t="shared" si="16"/>
        <v/>
      </c>
      <c r="S124" s="34" t="str">
        <f t="shared" si="17"/>
        <v/>
      </c>
      <c r="V124" s="24" t="str">
        <f t="shared" si="18"/>
        <v/>
      </c>
    </row>
    <row r="125" spans="1:22" x14ac:dyDescent="0.2">
      <c r="A125" s="24" t="str">
        <f>IF(C125="","",SUMIF('Číselník škol'!$B$14:$B$23,'D jednotlivci'!D125,'Číselník škol'!$A$14:$A$23)&amp;"/"&amp;COUNTIF($D$20:D125,D125))</f>
        <v/>
      </c>
      <c r="C125" s="7"/>
      <c r="D125" s="8"/>
      <c r="E125" s="17"/>
      <c r="F125" s="32" t="str">
        <f t="shared" si="10"/>
        <v/>
      </c>
      <c r="G125" s="9"/>
      <c r="H125" s="48"/>
      <c r="I125" s="32" t="str">
        <f t="shared" si="11"/>
        <v/>
      </c>
      <c r="J125" s="18"/>
      <c r="K125" s="32" t="str">
        <f t="shared" si="12"/>
        <v/>
      </c>
      <c r="L125" s="18"/>
      <c r="M125" s="32" t="str">
        <f t="shared" si="13"/>
        <v/>
      </c>
      <c r="N125" s="19"/>
      <c r="O125" s="32" t="str">
        <f t="shared" si="14"/>
        <v/>
      </c>
      <c r="P125" s="19"/>
      <c r="Q125" s="32" t="str">
        <f t="shared" si="15"/>
        <v/>
      </c>
      <c r="R125" s="33" t="str">
        <f t="shared" si="16"/>
        <v/>
      </c>
      <c r="S125" s="34" t="str">
        <f t="shared" si="17"/>
        <v/>
      </c>
      <c r="V125" s="24" t="str">
        <f t="shared" si="18"/>
        <v/>
      </c>
    </row>
    <row r="126" spans="1:22" x14ac:dyDescent="0.2">
      <c r="A126" s="24" t="str">
        <f>IF(C126="","",SUMIF('Číselník škol'!$B$14:$B$23,'D jednotlivci'!D126,'Číselník škol'!$A$14:$A$23)&amp;"/"&amp;COUNTIF($D$20:D126,D126))</f>
        <v/>
      </c>
      <c r="C126" s="7"/>
      <c r="D126" s="8"/>
      <c r="E126" s="17"/>
      <c r="F126" s="32" t="str">
        <f t="shared" si="10"/>
        <v/>
      </c>
      <c r="G126" s="9"/>
      <c r="H126" s="48"/>
      <c r="I126" s="32" t="str">
        <f t="shared" si="11"/>
        <v/>
      </c>
      <c r="J126" s="18"/>
      <c r="K126" s="32" t="str">
        <f t="shared" si="12"/>
        <v/>
      </c>
      <c r="L126" s="18"/>
      <c r="M126" s="32" t="str">
        <f t="shared" si="13"/>
        <v/>
      </c>
      <c r="N126" s="19"/>
      <c r="O126" s="32" t="str">
        <f t="shared" si="14"/>
        <v/>
      </c>
      <c r="P126" s="19"/>
      <c r="Q126" s="32" t="str">
        <f t="shared" si="15"/>
        <v/>
      </c>
      <c r="R126" s="33" t="str">
        <f t="shared" si="16"/>
        <v/>
      </c>
      <c r="S126" s="34" t="str">
        <f t="shared" si="17"/>
        <v/>
      </c>
      <c r="V126" s="24" t="str">
        <f t="shared" si="18"/>
        <v/>
      </c>
    </row>
    <row r="127" spans="1:22" x14ac:dyDescent="0.2">
      <c r="A127" s="24" t="str">
        <f>IF(C127="","",SUMIF('Číselník škol'!$B$14:$B$23,'D jednotlivci'!D127,'Číselník škol'!$A$14:$A$23)&amp;"/"&amp;COUNTIF($D$20:D127,D127))</f>
        <v/>
      </c>
      <c r="C127" s="7"/>
      <c r="D127" s="8"/>
      <c r="E127" s="17"/>
      <c r="F127" s="32" t="str">
        <f t="shared" si="10"/>
        <v/>
      </c>
      <c r="G127" s="9"/>
      <c r="H127" s="48"/>
      <c r="I127" s="32" t="str">
        <f t="shared" si="11"/>
        <v/>
      </c>
      <c r="J127" s="18"/>
      <c r="K127" s="32" t="str">
        <f t="shared" si="12"/>
        <v/>
      </c>
      <c r="L127" s="18"/>
      <c r="M127" s="32" t="str">
        <f t="shared" si="13"/>
        <v/>
      </c>
      <c r="N127" s="19"/>
      <c r="O127" s="32" t="str">
        <f t="shared" si="14"/>
        <v/>
      </c>
      <c r="P127" s="19"/>
      <c r="Q127" s="32" t="str">
        <f t="shared" si="15"/>
        <v/>
      </c>
      <c r="R127" s="33" t="str">
        <f t="shared" si="16"/>
        <v/>
      </c>
      <c r="S127" s="34" t="str">
        <f t="shared" si="17"/>
        <v/>
      </c>
      <c r="V127" s="24" t="str">
        <f t="shared" si="18"/>
        <v/>
      </c>
    </row>
    <row r="128" spans="1:22" x14ac:dyDescent="0.2">
      <c r="A128" s="24" t="str">
        <f>IF(C128="","",SUMIF('Číselník škol'!$B$14:$B$23,'D jednotlivci'!D128,'Číselník škol'!$A$14:$A$23)&amp;"/"&amp;COUNTIF($D$20:D128,D128))</f>
        <v/>
      </c>
      <c r="C128" s="7"/>
      <c r="D128" s="8"/>
      <c r="E128" s="17"/>
      <c r="F128" s="32" t="str">
        <f t="shared" si="10"/>
        <v/>
      </c>
      <c r="G128" s="9"/>
      <c r="H128" s="48"/>
      <c r="I128" s="32" t="str">
        <f t="shared" si="11"/>
        <v/>
      </c>
      <c r="J128" s="18"/>
      <c r="K128" s="32" t="str">
        <f t="shared" si="12"/>
        <v/>
      </c>
      <c r="L128" s="18"/>
      <c r="M128" s="32" t="str">
        <f t="shared" si="13"/>
        <v/>
      </c>
      <c r="N128" s="19"/>
      <c r="O128" s="32" t="str">
        <f t="shared" si="14"/>
        <v/>
      </c>
      <c r="P128" s="19"/>
      <c r="Q128" s="32" t="str">
        <f t="shared" si="15"/>
        <v/>
      </c>
      <c r="R128" s="33" t="str">
        <f t="shared" si="16"/>
        <v/>
      </c>
      <c r="S128" s="34" t="str">
        <f t="shared" si="17"/>
        <v/>
      </c>
      <c r="V128" s="24" t="str">
        <f t="shared" si="18"/>
        <v/>
      </c>
    </row>
    <row r="129" spans="1:22" x14ac:dyDescent="0.2">
      <c r="A129" s="24" t="str">
        <f>IF(C129="","",SUMIF('Číselník škol'!$B$14:$B$23,'D jednotlivci'!D129,'Číselník škol'!$A$14:$A$23)&amp;"/"&amp;COUNTIF($D$20:D129,D129))</f>
        <v/>
      </c>
      <c r="C129" s="7"/>
      <c r="D129" s="8"/>
      <c r="E129" s="17"/>
      <c r="F129" s="32" t="str">
        <f t="shared" si="10"/>
        <v/>
      </c>
      <c r="G129" s="9"/>
      <c r="H129" s="48"/>
      <c r="I129" s="32" t="str">
        <f t="shared" si="11"/>
        <v/>
      </c>
      <c r="J129" s="18"/>
      <c r="K129" s="32" t="str">
        <f t="shared" si="12"/>
        <v/>
      </c>
      <c r="L129" s="18"/>
      <c r="M129" s="32" t="str">
        <f t="shared" si="13"/>
        <v/>
      </c>
      <c r="N129" s="19"/>
      <c r="O129" s="32" t="str">
        <f t="shared" si="14"/>
        <v/>
      </c>
      <c r="P129" s="19"/>
      <c r="Q129" s="32" t="str">
        <f t="shared" si="15"/>
        <v/>
      </c>
      <c r="R129" s="33" t="str">
        <f t="shared" si="16"/>
        <v/>
      </c>
      <c r="S129" s="34" t="str">
        <f t="shared" si="17"/>
        <v/>
      </c>
      <c r="V129" s="24" t="str">
        <f t="shared" si="18"/>
        <v/>
      </c>
    </row>
    <row r="130" spans="1:22" x14ac:dyDescent="0.2">
      <c r="A130" s="24" t="str">
        <f>IF(C130="","",SUMIF('Číselník škol'!$B$14:$B$23,'D jednotlivci'!D130,'Číselník škol'!$A$14:$A$23)&amp;"/"&amp;COUNTIF($D$20:D130,D130))</f>
        <v/>
      </c>
      <c r="C130" s="7"/>
      <c r="D130" s="8"/>
      <c r="E130" s="17"/>
      <c r="F130" s="32" t="str">
        <f t="shared" si="10"/>
        <v/>
      </c>
      <c r="G130" s="9"/>
      <c r="H130" s="48"/>
      <c r="I130" s="32" t="str">
        <f t="shared" si="11"/>
        <v/>
      </c>
      <c r="J130" s="18"/>
      <c r="K130" s="32" t="str">
        <f t="shared" si="12"/>
        <v/>
      </c>
      <c r="L130" s="18"/>
      <c r="M130" s="32" t="str">
        <f t="shared" si="13"/>
        <v/>
      </c>
      <c r="N130" s="19"/>
      <c r="O130" s="32" t="str">
        <f t="shared" si="14"/>
        <v/>
      </c>
      <c r="P130" s="19"/>
      <c r="Q130" s="32" t="str">
        <f t="shared" si="15"/>
        <v/>
      </c>
      <c r="R130" s="33" t="str">
        <f t="shared" si="16"/>
        <v/>
      </c>
      <c r="S130" s="34" t="str">
        <f t="shared" si="17"/>
        <v/>
      </c>
      <c r="V130" s="24" t="str">
        <f t="shared" si="18"/>
        <v/>
      </c>
    </row>
    <row r="131" spans="1:22" x14ac:dyDescent="0.2">
      <c r="A131" s="24" t="str">
        <f>IF(C131="","",SUMIF('Číselník škol'!$B$14:$B$23,'D jednotlivci'!D131,'Číselník škol'!$A$14:$A$23)&amp;"/"&amp;COUNTIF($D$20:D131,D131))</f>
        <v/>
      </c>
      <c r="C131" s="7"/>
      <c r="D131" s="8"/>
      <c r="E131" s="17"/>
      <c r="F131" s="32" t="str">
        <f t="shared" si="10"/>
        <v/>
      </c>
      <c r="G131" s="9"/>
      <c r="H131" s="48"/>
      <c r="I131" s="32" t="str">
        <f t="shared" si="11"/>
        <v/>
      </c>
      <c r="J131" s="18"/>
      <c r="K131" s="32" t="str">
        <f t="shared" si="12"/>
        <v/>
      </c>
      <c r="L131" s="18"/>
      <c r="M131" s="32" t="str">
        <f t="shared" si="13"/>
        <v/>
      </c>
      <c r="N131" s="19"/>
      <c r="O131" s="32" t="str">
        <f t="shared" si="14"/>
        <v/>
      </c>
      <c r="P131" s="19"/>
      <c r="Q131" s="32" t="str">
        <f t="shared" si="15"/>
        <v/>
      </c>
      <c r="R131" s="33" t="str">
        <f t="shared" si="16"/>
        <v/>
      </c>
      <c r="S131" s="34" t="str">
        <f t="shared" si="17"/>
        <v/>
      </c>
      <c r="V131" s="24" t="str">
        <f t="shared" si="18"/>
        <v/>
      </c>
    </row>
    <row r="132" spans="1:22" x14ac:dyDescent="0.2">
      <c r="A132" s="24" t="str">
        <f>IF(C132="","",SUMIF('Číselník škol'!$B$14:$B$23,'D jednotlivci'!D132,'Číselník škol'!$A$14:$A$23)&amp;"/"&amp;COUNTIF($D$20:D132,D132))</f>
        <v/>
      </c>
      <c r="C132" s="7"/>
      <c r="D132" s="8"/>
      <c r="E132" s="17"/>
      <c r="F132" s="32" t="str">
        <f t="shared" si="10"/>
        <v/>
      </c>
      <c r="G132" s="9"/>
      <c r="H132" s="48"/>
      <c r="I132" s="32" t="str">
        <f t="shared" si="11"/>
        <v/>
      </c>
      <c r="J132" s="18"/>
      <c r="K132" s="32" t="str">
        <f t="shared" si="12"/>
        <v/>
      </c>
      <c r="L132" s="18"/>
      <c r="M132" s="32" t="str">
        <f t="shared" si="13"/>
        <v/>
      </c>
      <c r="N132" s="19"/>
      <c r="O132" s="32" t="str">
        <f t="shared" si="14"/>
        <v/>
      </c>
      <c r="P132" s="19"/>
      <c r="Q132" s="32" t="str">
        <f t="shared" si="15"/>
        <v/>
      </c>
      <c r="R132" s="33" t="str">
        <f t="shared" si="16"/>
        <v/>
      </c>
      <c r="S132" s="34" t="str">
        <f t="shared" si="17"/>
        <v/>
      </c>
      <c r="V132" s="24" t="str">
        <f t="shared" si="18"/>
        <v/>
      </c>
    </row>
    <row r="133" spans="1:22" x14ac:dyDescent="0.2">
      <c r="A133" s="24" t="str">
        <f>IF(C133="","",SUMIF('Číselník škol'!$B$14:$B$23,'D jednotlivci'!D133,'Číselník škol'!$A$14:$A$23)&amp;"/"&amp;COUNTIF($D$20:D133,D133))</f>
        <v/>
      </c>
      <c r="C133" s="7"/>
      <c r="D133" s="8"/>
      <c r="E133" s="17"/>
      <c r="F133" s="32" t="str">
        <f t="shared" si="10"/>
        <v/>
      </c>
      <c r="G133" s="9"/>
      <c r="H133" s="48"/>
      <c r="I133" s="32" t="str">
        <f t="shared" si="11"/>
        <v/>
      </c>
      <c r="J133" s="18"/>
      <c r="K133" s="32" t="str">
        <f t="shared" si="12"/>
        <v/>
      </c>
      <c r="L133" s="18"/>
      <c r="M133" s="32" t="str">
        <f t="shared" si="13"/>
        <v/>
      </c>
      <c r="N133" s="19"/>
      <c r="O133" s="32" t="str">
        <f t="shared" si="14"/>
        <v/>
      </c>
      <c r="P133" s="19"/>
      <c r="Q133" s="32" t="str">
        <f t="shared" si="15"/>
        <v/>
      </c>
      <c r="R133" s="33" t="str">
        <f t="shared" si="16"/>
        <v/>
      </c>
      <c r="S133" s="34" t="str">
        <f t="shared" si="17"/>
        <v/>
      </c>
      <c r="V133" s="24" t="str">
        <f t="shared" si="18"/>
        <v/>
      </c>
    </row>
    <row r="134" spans="1:22" x14ac:dyDescent="0.2">
      <c r="A134" s="24" t="str">
        <f>IF(C134="","",SUMIF('Číselník škol'!$B$14:$B$23,'D jednotlivci'!D134,'Číselník škol'!$A$14:$A$23)&amp;"/"&amp;COUNTIF($D$20:D134,D134))</f>
        <v/>
      </c>
      <c r="C134" s="7"/>
      <c r="D134" s="8"/>
      <c r="E134" s="17"/>
      <c r="F134" s="32" t="str">
        <f t="shared" si="10"/>
        <v/>
      </c>
      <c r="G134" s="9"/>
      <c r="H134" s="48"/>
      <c r="I134" s="32" t="str">
        <f t="shared" si="11"/>
        <v/>
      </c>
      <c r="J134" s="18"/>
      <c r="K134" s="32" t="str">
        <f t="shared" si="12"/>
        <v/>
      </c>
      <c r="L134" s="18"/>
      <c r="M134" s="32" t="str">
        <f t="shared" si="13"/>
        <v/>
      </c>
      <c r="N134" s="19"/>
      <c r="O134" s="32" t="str">
        <f t="shared" si="14"/>
        <v/>
      </c>
      <c r="P134" s="19"/>
      <c r="Q134" s="32" t="str">
        <f t="shared" si="15"/>
        <v/>
      </c>
      <c r="R134" s="33" t="str">
        <f t="shared" si="16"/>
        <v/>
      </c>
      <c r="S134" s="34" t="str">
        <f t="shared" si="17"/>
        <v/>
      </c>
      <c r="V134" s="24" t="str">
        <f t="shared" si="18"/>
        <v/>
      </c>
    </row>
    <row r="135" spans="1:22" x14ac:dyDescent="0.2">
      <c r="A135" s="24" t="str">
        <f>IF(C135="","",SUMIF('Číselník škol'!$B$14:$B$23,'D jednotlivci'!D135,'Číselník škol'!$A$14:$A$23)&amp;"/"&amp;COUNTIF($D$20:D135,D135))</f>
        <v/>
      </c>
      <c r="C135" s="7"/>
      <c r="D135" s="8"/>
      <c r="E135" s="17"/>
      <c r="F135" s="32" t="str">
        <f t="shared" si="10"/>
        <v/>
      </c>
      <c r="G135" s="9"/>
      <c r="H135" s="48"/>
      <c r="I135" s="32" t="str">
        <f t="shared" si="11"/>
        <v/>
      </c>
      <c r="J135" s="18"/>
      <c r="K135" s="32" t="str">
        <f t="shared" si="12"/>
        <v/>
      </c>
      <c r="L135" s="18"/>
      <c r="M135" s="32" t="str">
        <f t="shared" si="13"/>
        <v/>
      </c>
      <c r="N135" s="19"/>
      <c r="O135" s="32" t="str">
        <f t="shared" si="14"/>
        <v/>
      </c>
      <c r="P135" s="19"/>
      <c r="Q135" s="32" t="str">
        <f t="shared" si="15"/>
        <v/>
      </c>
      <c r="R135" s="33" t="str">
        <f t="shared" si="16"/>
        <v/>
      </c>
      <c r="S135" s="34" t="str">
        <f t="shared" si="17"/>
        <v/>
      </c>
      <c r="V135" s="24" t="str">
        <f t="shared" si="18"/>
        <v/>
      </c>
    </row>
    <row r="136" spans="1:22" x14ac:dyDescent="0.2">
      <c r="A136" s="24" t="str">
        <f>IF(C136="","",SUMIF('Číselník škol'!$B$14:$B$23,'D jednotlivci'!D136,'Číselník škol'!$A$14:$A$23)&amp;"/"&amp;COUNTIF($D$20:D136,D136))</f>
        <v/>
      </c>
      <c r="C136" s="7"/>
      <c r="D136" s="8"/>
      <c r="E136" s="17"/>
      <c r="F136" s="32" t="str">
        <f t="shared" si="10"/>
        <v/>
      </c>
      <c r="G136" s="9"/>
      <c r="H136" s="48"/>
      <c r="I136" s="32" t="str">
        <f t="shared" si="11"/>
        <v/>
      </c>
      <c r="J136" s="18"/>
      <c r="K136" s="32" t="str">
        <f t="shared" si="12"/>
        <v/>
      </c>
      <c r="L136" s="18"/>
      <c r="M136" s="32" t="str">
        <f t="shared" si="13"/>
        <v/>
      </c>
      <c r="N136" s="19"/>
      <c r="O136" s="32" t="str">
        <f t="shared" si="14"/>
        <v/>
      </c>
      <c r="P136" s="19"/>
      <c r="Q136" s="32" t="str">
        <f t="shared" si="15"/>
        <v/>
      </c>
      <c r="R136" s="33" t="str">
        <f t="shared" si="16"/>
        <v/>
      </c>
      <c r="S136" s="34" t="str">
        <f t="shared" si="17"/>
        <v/>
      </c>
      <c r="V136" s="24" t="str">
        <f t="shared" si="18"/>
        <v/>
      </c>
    </row>
  </sheetData>
  <sheetProtection algorithmName="SHA-512" hashValue="fSwY1juZhepvk7FMa+kCAYddfNdIygctjz++r3jNUQLteHpJ7RCoQ+h8nMLX6zndlYA4HTvgeg3ySC1G//PI3A==" saltValue="sUNbjXsKZwaAQZ4q99MamA==" spinCount="100000" sheet="1" objects="1" scenarios="1" autoFilter="0"/>
  <autoFilter ref="C19:S136">
    <filterColumn colId="2" showButton="0"/>
    <filterColumn colId="4" showButton="0"/>
    <filterColumn colId="5" showButton="0"/>
    <filterColumn colId="7" showButton="0"/>
    <filterColumn colId="9" showButton="0"/>
    <filterColumn colId="11" showButton="0"/>
    <filterColumn colId="13" showButton="0"/>
  </autoFilter>
  <mergeCells count="95">
    <mergeCell ref="C2:S2"/>
    <mergeCell ref="C6:D6"/>
    <mergeCell ref="E6:F6"/>
    <mergeCell ref="G6:H6"/>
    <mergeCell ref="I6:J6"/>
    <mergeCell ref="K6:L6"/>
    <mergeCell ref="M6:N6"/>
    <mergeCell ref="O6:P6"/>
    <mergeCell ref="Q6:R6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7:N7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9:N9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11:N11"/>
    <mergeCell ref="O16:P16"/>
    <mergeCell ref="Q16:R16"/>
    <mergeCell ref="P19:Q19"/>
    <mergeCell ref="M16:N16"/>
    <mergeCell ref="C16:D16"/>
    <mergeCell ref="E16:F16"/>
    <mergeCell ref="G16:H16"/>
    <mergeCell ref="I16:J16"/>
    <mergeCell ref="K16:L16"/>
    <mergeCell ref="E19:F19"/>
    <mergeCell ref="G19:I19"/>
    <mergeCell ref="J19:K19"/>
    <mergeCell ref="L19:M19"/>
    <mergeCell ref="N19:O19"/>
    <mergeCell ref="Q13:R13"/>
    <mergeCell ref="Q14:R14"/>
    <mergeCell ref="K14:L14"/>
    <mergeCell ref="M14:N14"/>
    <mergeCell ref="Q15:R15"/>
    <mergeCell ref="O13:P13"/>
    <mergeCell ref="O14:P14"/>
    <mergeCell ref="O15:P15"/>
    <mergeCell ref="I15:J15"/>
    <mergeCell ref="K15:L15"/>
    <mergeCell ref="M15:N15"/>
    <mergeCell ref="C13:D13"/>
    <mergeCell ref="C14:D14"/>
    <mergeCell ref="C15:D15"/>
    <mergeCell ref="E13:F13"/>
    <mergeCell ref="G13:H13"/>
    <mergeCell ref="E15:F15"/>
    <mergeCell ref="G15:H15"/>
    <mergeCell ref="E14:F14"/>
    <mergeCell ref="G14:H14"/>
    <mergeCell ref="I13:J13"/>
    <mergeCell ref="K13:L13"/>
    <mergeCell ref="M13:N13"/>
    <mergeCell ref="I14:J14"/>
  </mergeCells>
  <conditionalFormatting sqref="C70:S136 D20:S69">
    <cfRule type="expression" dxfId="6" priority="14">
      <formula>$S20="3."</formula>
    </cfRule>
    <cfRule type="expression" dxfId="5" priority="15">
      <formula>$S20="2."</formula>
    </cfRule>
    <cfRule type="expression" dxfId="4" priority="16">
      <formula>$S20="1."</formula>
    </cfRule>
  </conditionalFormatting>
  <conditionalFormatting sqref="E7:N7">
    <cfRule type="cellIs" dxfId="3" priority="13" operator="equal">
      <formula>MIN($E$7:$N$7)</formula>
    </cfRule>
  </conditionalFormatting>
  <conditionalFormatting sqref="C20:C69">
    <cfRule type="expression" dxfId="2" priority="10">
      <formula>$S20="3."</formula>
    </cfRule>
    <cfRule type="expression" dxfId="1" priority="11">
      <formula>$S20="2."</formula>
    </cfRule>
    <cfRule type="expression" dxfId="0" priority="12">
      <formula>$S20="1."</formula>
    </cfRule>
  </conditionalFormatting>
  <printOptions horizontalCentered="1"/>
  <pageMargins left="0.11811023622047245" right="0.11811023622047245" top="0.19685039370078741" bottom="0" header="0.31496062992125984" footer="0"/>
  <pageSetup paperSize="9"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škol'!$B$14:$B$23</xm:f>
          </x14:formula1>
          <xm:sqref>D20:D136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6" workbookViewId="0">
      <selection activeCell="L29" sqref="L29"/>
    </sheetView>
  </sheetViews>
  <sheetFormatPr defaultRowHeight="14.25" x14ac:dyDescent="0.2"/>
  <cols>
    <col min="1" max="1" width="3.625" customWidth="1"/>
    <col min="2" max="2" width="33.375" customWidth="1"/>
  </cols>
  <sheetData>
    <row r="1" spans="1:8" x14ac:dyDescent="0.2">
      <c r="A1" s="49"/>
      <c r="B1" s="49"/>
      <c r="C1" s="49"/>
      <c r="D1" s="51"/>
      <c r="E1" s="50"/>
      <c r="F1" s="51"/>
      <c r="G1" s="49"/>
      <c r="H1" s="49"/>
    </row>
    <row r="2" spans="1:8" ht="81" customHeight="1" x14ac:dyDescent="0.55000000000000004">
      <c r="A2" s="49"/>
      <c r="B2" s="100" t="str">
        <f>'CH jednotlivci'!C2</f>
        <v>ATLETICKÝ ČTYŘBOJ 2019
- krajské kolo</v>
      </c>
      <c r="C2" s="100"/>
      <c r="D2" s="100"/>
      <c r="E2" s="100"/>
      <c r="F2" s="100"/>
      <c r="G2" s="100"/>
      <c r="H2" s="58"/>
    </row>
    <row r="3" spans="1:8" x14ac:dyDescent="0.2">
      <c r="A3" s="49"/>
      <c r="B3" s="49"/>
      <c r="C3" s="49"/>
      <c r="D3" s="51"/>
      <c r="E3" s="50"/>
      <c r="F3" s="51"/>
      <c r="G3" s="49"/>
      <c r="H3" s="49"/>
    </row>
    <row r="4" spans="1:8" x14ac:dyDescent="0.2">
      <c r="A4" s="49"/>
      <c r="B4" s="49"/>
      <c r="C4" s="49"/>
      <c r="D4" s="51"/>
      <c r="E4" s="50"/>
      <c r="F4" s="51"/>
      <c r="G4" s="49"/>
      <c r="H4" s="49"/>
    </row>
    <row r="5" spans="1:8" ht="29.25" x14ac:dyDescent="0.4">
      <c r="A5" s="49"/>
      <c r="B5" s="52" t="s">
        <v>29</v>
      </c>
      <c r="C5" s="49"/>
      <c r="D5" s="51"/>
      <c r="E5" s="50"/>
      <c r="F5" s="51"/>
      <c r="G5" s="49"/>
      <c r="H5" s="49"/>
    </row>
    <row r="6" spans="1:8" x14ac:dyDescent="0.2">
      <c r="A6" s="49"/>
      <c r="B6" s="97" t="s">
        <v>18</v>
      </c>
      <c r="C6" s="97"/>
      <c r="D6" s="98" t="s">
        <v>19</v>
      </c>
      <c r="E6" s="98"/>
      <c r="F6" s="99" t="s">
        <v>20</v>
      </c>
      <c r="G6" s="99"/>
      <c r="H6" s="53"/>
    </row>
    <row r="7" spans="1:8" ht="31.5" customHeight="1" x14ac:dyDescent="0.2">
      <c r="A7" s="54"/>
      <c r="B7" s="106" t="str">
        <f ca="1">'D jednotlivci'!C7</f>
        <v>ZŠ Trutnov, Komenského</v>
      </c>
      <c r="C7" s="106"/>
      <c r="D7" s="101">
        <f ca="1">'D jednotlivci'!O7</f>
        <v>7065</v>
      </c>
      <c r="E7" s="101"/>
      <c r="F7" s="102" t="s">
        <v>23</v>
      </c>
      <c r="G7" s="102"/>
      <c r="H7" s="54"/>
    </row>
    <row r="8" spans="1:8" ht="31.5" customHeight="1" x14ac:dyDescent="0.2">
      <c r="A8" s="54"/>
      <c r="B8" s="103" t="str">
        <f ca="1">'D jednotlivci'!C8</f>
        <v>Gymnázium, Trutnov</v>
      </c>
      <c r="C8" s="103"/>
      <c r="D8" s="104">
        <f ca="1">'D jednotlivci'!O8</f>
        <v>6935</v>
      </c>
      <c r="E8" s="104"/>
      <c r="F8" s="105" t="s">
        <v>24</v>
      </c>
      <c r="G8" s="105"/>
      <c r="H8" s="54"/>
    </row>
    <row r="9" spans="1:8" ht="31.5" customHeight="1" x14ac:dyDescent="0.2">
      <c r="A9" s="54"/>
      <c r="B9" s="109" t="str">
        <f ca="1">'D jednotlivci'!C9</f>
        <v>ZŠ Hradec Králové, Štefcova</v>
      </c>
      <c r="C9" s="109"/>
      <c r="D9" s="107">
        <f ca="1">'D jednotlivci'!O9</f>
        <v>6902</v>
      </c>
      <c r="E9" s="107"/>
      <c r="F9" s="108" t="s">
        <v>25</v>
      </c>
      <c r="G9" s="108"/>
      <c r="H9" s="54"/>
    </row>
    <row r="10" spans="1:8" ht="12" customHeight="1" x14ac:dyDescent="0.2">
      <c r="A10" s="54"/>
      <c r="B10" s="55"/>
      <c r="C10" s="55"/>
      <c r="D10" s="56"/>
      <c r="E10" s="56"/>
      <c r="F10" s="57"/>
      <c r="G10" s="57"/>
      <c r="H10" s="54"/>
    </row>
    <row r="11" spans="1:8" ht="31.5" customHeight="1" x14ac:dyDescent="0.2">
      <c r="A11" s="54"/>
      <c r="B11" s="92" t="str">
        <f ca="1">'D jednotlivci'!C10</f>
        <v>Lepařovo gymnázium, Jičín</v>
      </c>
      <c r="C11" s="92"/>
      <c r="D11" s="93">
        <f ca="1">'D jednotlivci'!O10</f>
        <v>6499</v>
      </c>
      <c r="E11" s="93"/>
      <c r="F11" s="96" t="s">
        <v>26</v>
      </c>
      <c r="G11" s="96"/>
      <c r="H11" s="54"/>
    </row>
    <row r="12" spans="1:8" ht="31.5" customHeight="1" x14ac:dyDescent="0.2">
      <c r="A12" s="54"/>
      <c r="B12" s="92" t="str">
        <f ca="1">'D jednotlivci'!C11</f>
        <v>Jiráskovo gymnázium, Náchod</v>
      </c>
      <c r="C12" s="92"/>
      <c r="D12" s="93">
        <f ca="1">'D jednotlivci'!O11</f>
        <v>6336</v>
      </c>
      <c r="E12" s="93"/>
      <c r="F12" s="96" t="s">
        <v>27</v>
      </c>
      <c r="G12" s="96"/>
      <c r="H12" s="54"/>
    </row>
    <row r="13" spans="1:8" ht="31.5" customHeight="1" x14ac:dyDescent="0.2">
      <c r="B13" s="92" t="str">
        <f ca="1">'D jednotlivci'!C12</f>
        <v>ZŠ Nové Město nad Metují</v>
      </c>
      <c r="C13" s="92"/>
      <c r="D13" s="93">
        <f ca="1">'D jednotlivci'!O12</f>
        <v>6208</v>
      </c>
      <c r="E13" s="93"/>
      <c r="F13" s="96" t="s">
        <v>31</v>
      </c>
      <c r="G13" s="96"/>
    </row>
    <row r="14" spans="1:8" ht="31.5" customHeight="1" x14ac:dyDescent="0.2">
      <c r="B14" s="92" t="str">
        <f ca="1">'D jednotlivci'!C13</f>
        <v>ZŠ Sobotka</v>
      </c>
      <c r="C14" s="92"/>
      <c r="D14" s="93">
        <f ca="1">'D jednotlivci'!O13</f>
        <v>5786</v>
      </c>
      <c r="E14" s="93"/>
      <c r="F14" s="96" t="s">
        <v>32</v>
      </c>
      <c r="G14" s="96"/>
    </row>
    <row r="15" spans="1:8" ht="31.5" customHeight="1" x14ac:dyDescent="0.2">
      <c r="B15" s="92" t="str">
        <f ca="1">'D jednotlivci'!C14</f>
        <v>ZŠ Rychnov nad Kněžnou, Masarykova</v>
      </c>
      <c r="C15" s="92"/>
      <c r="D15" s="93">
        <f ca="1">'D jednotlivci'!O14</f>
        <v>5610</v>
      </c>
      <c r="E15" s="93"/>
      <c r="F15" s="96" t="s">
        <v>33</v>
      </c>
      <c r="G15" s="96"/>
    </row>
    <row r="16" spans="1:8" ht="31.5" customHeight="1" x14ac:dyDescent="0.2">
      <c r="B16" s="92" t="str">
        <f ca="1">'D jednotlivci'!C15</f>
        <v>Gymnázium, Dobruška</v>
      </c>
      <c r="C16" s="92"/>
      <c r="D16" s="93">
        <f ca="1">'D jednotlivci'!O15</f>
        <v>5328</v>
      </c>
      <c r="E16" s="93"/>
      <c r="F16" s="96" t="s">
        <v>34</v>
      </c>
      <c r="G16" s="96"/>
    </row>
    <row r="17" spans="2:7" ht="31.5" customHeight="1" x14ac:dyDescent="0.2">
      <c r="B17" s="92" t="str">
        <f ca="1">'D jednotlivci'!C16</f>
        <v>ZŠ a MŠ Hradec Králové, Kukleny</v>
      </c>
      <c r="C17" s="92"/>
      <c r="D17" s="93">
        <f ca="1">'D jednotlivci'!O16</f>
        <v>5123</v>
      </c>
      <c r="E17" s="93"/>
      <c r="F17" s="96" t="s">
        <v>35</v>
      </c>
      <c r="G17" s="96"/>
    </row>
    <row r="18" spans="2:7" ht="31.5" customHeight="1" x14ac:dyDescent="0.2"/>
    <row r="20" spans="2:7" ht="29.25" x14ac:dyDescent="0.4">
      <c r="B20" s="52" t="s">
        <v>28</v>
      </c>
      <c r="C20" s="49"/>
      <c r="D20" s="51"/>
      <c r="E20" s="50"/>
      <c r="F20" s="51"/>
      <c r="G20" s="49"/>
    </row>
    <row r="21" spans="2:7" x14ac:dyDescent="0.2">
      <c r="B21" s="94" t="s">
        <v>18</v>
      </c>
      <c r="C21" s="94"/>
      <c r="D21" s="95" t="s">
        <v>19</v>
      </c>
      <c r="E21" s="95"/>
      <c r="F21" s="110" t="s">
        <v>20</v>
      </c>
      <c r="G21" s="110"/>
    </row>
    <row r="22" spans="2:7" ht="31.5" customHeight="1" x14ac:dyDescent="0.2">
      <c r="B22" s="106" t="str">
        <f ca="1">'CH jednotlivci'!C7</f>
        <v>ZŠ a MŠ Hradec Králové, Kukleny</v>
      </c>
      <c r="C22" s="106"/>
      <c r="D22" s="101">
        <f ca="1">'CH jednotlivci'!O7</f>
        <v>7189</v>
      </c>
      <c r="E22" s="101"/>
      <c r="F22" s="102" t="s">
        <v>23</v>
      </c>
      <c r="G22" s="102"/>
    </row>
    <row r="23" spans="2:7" ht="31.5" customHeight="1" x14ac:dyDescent="0.2">
      <c r="B23" s="103" t="str">
        <f ca="1">'CH jednotlivci'!C8</f>
        <v>ZŠ Hradec Králové, Štefcova</v>
      </c>
      <c r="C23" s="103"/>
      <c r="D23" s="104">
        <f ca="1">'CH jednotlivci'!O8</f>
        <v>7051</v>
      </c>
      <c r="E23" s="104"/>
      <c r="F23" s="105" t="s">
        <v>24</v>
      </c>
      <c r="G23" s="105"/>
    </row>
    <row r="24" spans="2:7" ht="31.5" customHeight="1" x14ac:dyDescent="0.2">
      <c r="B24" s="109" t="str">
        <f ca="1">'CH jednotlivci'!C9</f>
        <v>ZŠ Červený Kostelec, V. Hejny</v>
      </c>
      <c r="C24" s="109"/>
      <c r="D24" s="107">
        <f ca="1">'CH jednotlivci'!O9</f>
        <v>6977</v>
      </c>
      <c r="E24" s="107"/>
      <c r="F24" s="108" t="s">
        <v>25</v>
      </c>
      <c r="G24" s="108"/>
    </row>
    <row r="25" spans="2:7" ht="12" customHeight="1" x14ac:dyDescent="0.2">
      <c r="B25" s="55"/>
      <c r="C25" s="55"/>
      <c r="D25" s="56"/>
      <c r="E25" s="56"/>
      <c r="F25" s="57"/>
      <c r="G25" s="57"/>
    </row>
    <row r="26" spans="2:7" ht="31.5" customHeight="1" x14ac:dyDescent="0.2">
      <c r="B26" s="92" t="str">
        <f ca="1">'CH jednotlivci'!C10</f>
        <v>ZŠ Trutnov, Komenského</v>
      </c>
      <c r="C26" s="92"/>
      <c r="D26" s="93">
        <f ca="1">'CH jednotlivci'!O10</f>
        <v>6738</v>
      </c>
      <c r="E26" s="93"/>
      <c r="F26" s="96" t="s">
        <v>26</v>
      </c>
      <c r="G26" s="96"/>
    </row>
    <row r="27" spans="2:7" ht="31.5" customHeight="1" x14ac:dyDescent="0.2">
      <c r="B27" s="92" t="str">
        <f ca="1">'CH jednotlivci'!C11</f>
        <v>ZŠ Jičín, Železnická</v>
      </c>
      <c r="C27" s="92"/>
      <c r="D27" s="93">
        <f ca="1">'CH jednotlivci'!O11</f>
        <v>6712</v>
      </c>
      <c r="E27" s="93"/>
      <c r="F27" s="96" t="s">
        <v>27</v>
      </c>
      <c r="G27" s="96"/>
    </row>
    <row r="28" spans="2:7" ht="31.5" customHeight="1" x14ac:dyDescent="0.2">
      <c r="B28" s="92" t="str">
        <f ca="1">'CH jednotlivci'!C12</f>
        <v xml:space="preserve">Gymnázium, Dobruška </v>
      </c>
      <c r="C28" s="92"/>
      <c r="D28" s="93">
        <f ca="1">'CH jednotlivci'!O12</f>
        <v>6050</v>
      </c>
      <c r="E28" s="93"/>
      <c r="F28" s="96" t="s">
        <v>31</v>
      </c>
      <c r="G28" s="96"/>
    </row>
    <row r="29" spans="2:7" ht="31.5" customHeight="1" x14ac:dyDescent="0.2">
      <c r="B29" s="92" t="str">
        <f ca="1">'CH jednotlivci'!C13</f>
        <v>ZŠ Rychnov nad Kněžnou, Javornická</v>
      </c>
      <c r="C29" s="92"/>
      <c r="D29" s="93">
        <f ca="1">'CH jednotlivci'!O13</f>
        <v>5845</v>
      </c>
      <c r="E29" s="93"/>
      <c r="F29" s="96" t="s">
        <v>32</v>
      </c>
      <c r="G29" s="96"/>
    </row>
    <row r="30" spans="2:7" ht="31.5" customHeight="1" x14ac:dyDescent="0.2">
      <c r="B30" s="92" t="str">
        <f ca="1">'CH jednotlivci'!C14</f>
        <v>ZŠ Vrchlabí, Školní</v>
      </c>
      <c r="C30" s="92"/>
      <c r="D30" s="93">
        <f ca="1">'CH jednotlivci'!O14</f>
        <v>5719</v>
      </c>
      <c r="E30" s="93"/>
      <c r="F30" s="96" t="s">
        <v>33</v>
      </c>
      <c r="G30" s="96"/>
    </row>
    <row r="31" spans="2:7" ht="31.5" customHeight="1" x14ac:dyDescent="0.2">
      <c r="B31" s="92" t="str">
        <f ca="1">'CH jednotlivci'!C15</f>
        <v>ZŠ Nová Paka, Komenského</v>
      </c>
      <c r="C31" s="92"/>
      <c r="D31" s="93">
        <f ca="1">'CH jednotlivci'!O15</f>
        <v>5456</v>
      </c>
      <c r="E31" s="93"/>
      <c r="F31" s="96" t="s">
        <v>34</v>
      </c>
      <c r="G31" s="96"/>
    </row>
    <row r="32" spans="2:7" ht="31.5" customHeight="1" x14ac:dyDescent="0.2">
      <c r="B32" s="92" t="str">
        <f ca="1">'CH jednotlivci'!C16</f>
        <v>ZŠ Náchod, Komenského</v>
      </c>
      <c r="C32" s="92"/>
      <c r="D32" s="93">
        <f ca="1">'CH jednotlivci'!O16</f>
        <v>5043</v>
      </c>
      <c r="E32" s="93"/>
      <c r="F32" s="96" t="s">
        <v>35</v>
      </c>
      <c r="G32" s="96"/>
    </row>
    <row r="33" ht="31.5" customHeight="1" x14ac:dyDescent="0.2"/>
  </sheetData>
  <sheetProtection algorithmName="SHA-512" hashValue="p2dConzroHPtSvKTIvzW7V24gh5BGS7Pne6CoPMhIpdOjz0yO8NM1xdOqHf0A2PSBSTx0btXezeXgV9PINZQ1g==" saltValue="YSaihXKsP2X3FYH8lL1SHw==" spinCount="100000" sheet="1" objects="1" scenarios="1"/>
  <mergeCells count="67">
    <mergeCell ref="F21:G21"/>
    <mergeCell ref="B23:C23"/>
    <mergeCell ref="D23:E23"/>
    <mergeCell ref="F23:G23"/>
    <mergeCell ref="B27:C27"/>
    <mergeCell ref="D27:E27"/>
    <mergeCell ref="F27:G27"/>
    <mergeCell ref="B24:C24"/>
    <mergeCell ref="D24:E24"/>
    <mergeCell ref="F24:G24"/>
    <mergeCell ref="B26:C26"/>
    <mergeCell ref="D26:E26"/>
    <mergeCell ref="F26:G26"/>
    <mergeCell ref="B8:C8"/>
    <mergeCell ref="D8:E8"/>
    <mergeCell ref="F8:G8"/>
    <mergeCell ref="B7:C7"/>
    <mergeCell ref="B22:C22"/>
    <mergeCell ref="D22:E22"/>
    <mergeCell ref="F22:G22"/>
    <mergeCell ref="B12:C12"/>
    <mergeCell ref="D9:E9"/>
    <mergeCell ref="F9:G9"/>
    <mergeCell ref="B11:C11"/>
    <mergeCell ref="D11:E11"/>
    <mergeCell ref="F11:G11"/>
    <mergeCell ref="B9:C9"/>
    <mergeCell ref="D12:E12"/>
    <mergeCell ref="F12:G12"/>
    <mergeCell ref="B6:C6"/>
    <mergeCell ref="D6:E6"/>
    <mergeCell ref="F6:G6"/>
    <mergeCell ref="B2:G2"/>
    <mergeCell ref="D7:E7"/>
    <mergeCell ref="F7:G7"/>
    <mergeCell ref="F13:G13"/>
    <mergeCell ref="F14:G14"/>
    <mergeCell ref="F15:G15"/>
    <mergeCell ref="F16:G16"/>
    <mergeCell ref="F17:G17"/>
    <mergeCell ref="F28:G28"/>
    <mergeCell ref="F29:G29"/>
    <mergeCell ref="F30:G30"/>
    <mergeCell ref="F31:G31"/>
    <mergeCell ref="F32:G3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28:C28"/>
    <mergeCell ref="D28:E28"/>
    <mergeCell ref="B21:C21"/>
    <mergeCell ref="D21:E21"/>
    <mergeCell ref="B32:C32"/>
    <mergeCell ref="D32:E32"/>
    <mergeCell ref="B29:C29"/>
    <mergeCell ref="D29:E29"/>
    <mergeCell ref="B30:C30"/>
    <mergeCell ref="D30:E30"/>
    <mergeCell ref="B31:C31"/>
    <mergeCell ref="D31:E31"/>
  </mergeCells>
  <pageMargins left="0.7" right="0.7" top="0.78740157499999996" bottom="0.78740157499999996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11" sqref="B11"/>
    </sheetView>
  </sheetViews>
  <sheetFormatPr defaultRowHeight="14.25" x14ac:dyDescent="0.2"/>
  <cols>
    <col min="1" max="1" width="3.75" style="13" customWidth="1"/>
    <col min="2" max="2" width="47.125" style="13" bestFit="1" customWidth="1"/>
    <col min="3" max="7" width="12.375" style="13" customWidth="1"/>
    <col min="8" max="8" width="14.25" style="13" bestFit="1" customWidth="1"/>
    <col min="9" max="9" width="15.25" style="44" bestFit="1" customWidth="1"/>
    <col min="10" max="16384" width="9" style="13"/>
  </cols>
  <sheetData>
    <row r="1" spans="1:9" x14ac:dyDescent="0.2">
      <c r="A1" s="37"/>
      <c r="B1" s="14" t="s">
        <v>21</v>
      </c>
      <c r="C1" s="38" t="s">
        <v>14</v>
      </c>
      <c r="D1" s="38" t="s">
        <v>9</v>
      </c>
      <c r="E1" s="38" t="s">
        <v>10</v>
      </c>
      <c r="F1" s="38" t="s">
        <v>11</v>
      </c>
      <c r="G1" s="38" t="s">
        <v>12</v>
      </c>
      <c r="H1" s="39" t="s">
        <v>15</v>
      </c>
      <c r="I1" s="39" t="s">
        <v>16</v>
      </c>
    </row>
    <row r="2" spans="1:9" ht="18.75" x14ac:dyDescent="0.25">
      <c r="A2" s="40">
        <f>IF(B2="","",1)</f>
        <v>1</v>
      </c>
      <c r="B2" s="47" t="s">
        <v>46</v>
      </c>
      <c r="C2" s="41">
        <f ca="1">IF(B2="","",SUMIF('CH jednotlivci'!$A$20:$B$136,'Číselník škol'!$A2&amp;"/"&amp;LEFT('Číselník škol'!C$1,1),'CH jednotlivci'!$R$20:$R$136))</f>
        <v>1517</v>
      </c>
      <c r="D2" s="41">
        <f ca="1">IF(C2="","",SUMIF('CH jednotlivci'!$A$20:$B$136,'Číselník škol'!$A2&amp;"/"&amp;LEFT('Číselník škol'!D$1,1),'CH jednotlivci'!$R$20:$R$136))</f>
        <v>1869</v>
      </c>
      <c r="E2" s="41">
        <f ca="1">IF(D2="","",SUMIF('CH jednotlivci'!$A$20:$B$136,'Číselník škol'!$A2&amp;"/"&amp;LEFT('Číselník škol'!E$1,1),'CH jednotlivci'!$R$20:$R$136))</f>
        <v>1903</v>
      </c>
      <c r="F2" s="41">
        <f ca="1">IF(E2="","",SUMIF('CH jednotlivci'!$A$20:$B$136,'Číselník škol'!$A2&amp;"/"&amp;LEFT('Číselník škol'!F$1,1),'CH jednotlivci'!$R$20:$R$136))</f>
        <v>1615</v>
      </c>
      <c r="G2" s="41">
        <f ca="1">IF(F2="","",SUMIF('CH jednotlivci'!$A$20:$B$136,'Číselník škol'!$A2&amp;"/"&amp;LEFT('Číselník škol'!G$1,1),'CH jednotlivci'!$R$20:$R$136))</f>
        <v>1664</v>
      </c>
      <c r="H2" s="42">
        <f ca="1">IF(B2="","",IF(COUNTIF('CH jednotlivci'!$D$20:$D$136,'Číselník škol'!B2)&lt;5,SUM(C2:G2),SUM(C2:G2)-MIN(C2:G2)))</f>
        <v>7051</v>
      </c>
      <c r="I2" s="43">
        <f ca="1">IF(OR(H2=0,B2=""),"",RANK(H2,$H$2:$H$11,0))</f>
        <v>2</v>
      </c>
    </row>
    <row r="3" spans="1:9" ht="18.75" x14ac:dyDescent="0.25">
      <c r="A3" s="40">
        <f t="shared" ref="A3:A11" si="0">IF(B3="","",A2+1)</f>
        <v>2</v>
      </c>
      <c r="B3" s="47" t="s">
        <v>53</v>
      </c>
      <c r="C3" s="41">
        <f ca="1">IF(B3="","",SUMIF('CH jednotlivci'!$A$20:$B$136,'Číselník škol'!$A3&amp;"/"&amp;LEFT('Číselník škol'!C$1,1),'CH jednotlivci'!$R$20:$R$136))</f>
        <v>1497</v>
      </c>
      <c r="D3" s="41">
        <f ca="1">IF(C3="","",SUMIF('CH jednotlivci'!$A$20:$B$136,'Číselník škol'!$A3&amp;"/"&amp;LEFT('Číselník škol'!D$1,1),'CH jednotlivci'!$R$20:$R$136))</f>
        <v>1466</v>
      </c>
      <c r="E3" s="41">
        <f ca="1">IF(D3="","",SUMIF('CH jednotlivci'!$A$20:$B$136,'Číselník škol'!$A3&amp;"/"&amp;LEFT('Číselník škol'!E$1,1),'CH jednotlivci'!$R$20:$R$136))</f>
        <v>1356</v>
      </c>
      <c r="F3" s="41">
        <f ca="1">IF(E3="","",SUMIF('CH jednotlivci'!$A$20:$B$136,'Číselník škol'!$A3&amp;"/"&amp;LEFT('Číselník škol'!F$1,1),'CH jednotlivci'!$R$20:$R$136))</f>
        <v>1137</v>
      </c>
      <c r="G3" s="41">
        <f ca="1">IF(F3="","",SUMIF('CH jednotlivci'!$A$20:$B$136,'Číselník škol'!$A3&amp;"/"&amp;LEFT('Číselník škol'!G$1,1),'CH jednotlivci'!$R$20:$R$136))</f>
        <v>1128</v>
      </c>
      <c r="H3" s="42">
        <f ca="1">IF(B3="","",IF(COUNTIF('CH jednotlivci'!$D$20:$D$136,'Číselník škol'!B3)&lt;5,SUM(C3:G3),SUM(C3:G3)-MIN(C3:G3)))</f>
        <v>5456</v>
      </c>
      <c r="I3" s="43">
        <f t="shared" ref="I3:I11" ca="1" si="1">IF(OR(H3=0,B3=""),"",RANK(H3,$H$2:$H$11,0))</f>
        <v>9</v>
      </c>
    </row>
    <row r="4" spans="1:9" ht="18.75" x14ac:dyDescent="0.25">
      <c r="A4" s="40">
        <f t="shared" si="0"/>
        <v>3</v>
      </c>
      <c r="B4" s="47" t="s">
        <v>57</v>
      </c>
      <c r="C4" s="41">
        <f ca="1">IF(B4="","",SUMIF('CH jednotlivci'!$A$20:$B$136,'Číselník škol'!$A4&amp;"/"&amp;LEFT('Číselník škol'!C$1,1),'CH jednotlivci'!$R$20:$R$136))</f>
        <v>1221</v>
      </c>
      <c r="D4" s="41">
        <f ca="1">IF(C4="","",SUMIF('CH jednotlivci'!$A$20:$B$136,'Číselník škol'!$A4&amp;"/"&amp;LEFT('Číselník škol'!D$1,1),'CH jednotlivci'!$R$20:$R$136))</f>
        <v>1666</v>
      </c>
      <c r="E4" s="41">
        <f ca="1">IF(D4="","",SUMIF('CH jednotlivci'!$A$20:$B$136,'Číselník škol'!$A4&amp;"/"&amp;LEFT('Číselník škol'!E$1,1),'CH jednotlivci'!$R$20:$R$136))</f>
        <v>1417</v>
      </c>
      <c r="F4" s="41">
        <f ca="1">IF(E4="","",SUMIF('CH jednotlivci'!$A$20:$B$136,'Číselník škol'!$A4&amp;"/"&amp;LEFT('Číselník škol'!F$1,1),'CH jednotlivci'!$R$20:$R$136))</f>
        <v>1862</v>
      </c>
      <c r="G4" s="41">
        <f ca="1">IF(F4="","",SUMIF('CH jednotlivci'!$A$20:$B$136,'Číselník škol'!$A4&amp;"/"&amp;LEFT('Číselník škol'!G$1,1),'CH jednotlivci'!$R$20:$R$136))</f>
        <v>1793</v>
      </c>
      <c r="H4" s="42">
        <f ca="1">IF(B4="","",IF(COUNTIF('CH jednotlivci'!$D$20:$D$136,'Číselník škol'!B4)&lt;5,SUM(C4:G4),SUM(C4:G4)-MIN(C4:G4)))</f>
        <v>6738</v>
      </c>
      <c r="I4" s="43">
        <f t="shared" ca="1" si="1"/>
        <v>4</v>
      </c>
    </row>
    <row r="5" spans="1:9" ht="18.75" x14ac:dyDescent="0.25">
      <c r="A5" s="40">
        <f t="shared" si="0"/>
        <v>4</v>
      </c>
      <c r="B5" s="47" t="s">
        <v>63</v>
      </c>
      <c r="C5" s="41">
        <f ca="1">IF(B5="","",SUMIF('CH jednotlivci'!$A$20:$B$136,'Číselník škol'!$A5&amp;"/"&amp;LEFT('Číselník škol'!C$1,1),'CH jednotlivci'!$R$20:$R$136))</f>
        <v>1704</v>
      </c>
      <c r="D5" s="41">
        <f ca="1">IF(C5="","",SUMIF('CH jednotlivci'!$A$20:$B$136,'Číselník škol'!$A5&amp;"/"&amp;LEFT('Číselník škol'!D$1,1),'CH jednotlivci'!$R$20:$R$136))</f>
        <v>1613</v>
      </c>
      <c r="E5" s="41">
        <f ca="1">IF(D5="","",SUMIF('CH jednotlivci'!$A$20:$B$136,'Číselník škol'!$A5&amp;"/"&amp;LEFT('Číselník škol'!E$1,1),'CH jednotlivci'!$R$20:$R$136))</f>
        <v>1347</v>
      </c>
      <c r="F5" s="41">
        <f ca="1">IF(E5="","",SUMIF('CH jednotlivci'!$A$20:$B$136,'Číselník škol'!$A5&amp;"/"&amp;LEFT('Číselník škol'!F$1,1),'CH jednotlivci'!$R$20:$R$136))</f>
        <v>1181</v>
      </c>
      <c r="G5" s="41">
        <f ca="1">IF(F5="","",SUMIF('CH jednotlivci'!$A$20:$B$136,'Číselník škol'!$A5&amp;"/"&amp;LEFT('Číselník škol'!G$1,1),'CH jednotlivci'!$R$20:$R$136))</f>
        <v>1135</v>
      </c>
      <c r="H5" s="42">
        <f ca="1">IF(B5="","",IF(COUNTIF('CH jednotlivci'!$D$20:$D$136,'Číselník škol'!B5)&lt;5,SUM(C5:G5),SUM(C5:G5)-MIN(C5:G5)))</f>
        <v>5845</v>
      </c>
      <c r="I5" s="43">
        <f t="shared" ca="1" si="1"/>
        <v>7</v>
      </c>
    </row>
    <row r="6" spans="1:9" ht="18.75" x14ac:dyDescent="0.25">
      <c r="A6" s="40">
        <f t="shared" si="0"/>
        <v>5</v>
      </c>
      <c r="B6" s="47" t="s">
        <v>64</v>
      </c>
      <c r="C6" s="41">
        <f ca="1">IF(B6="","",SUMIF('CH jednotlivci'!$A$20:$B$136,'Číselník škol'!$A6&amp;"/"&amp;LEFT('Číselník škol'!C$1,1),'CH jednotlivci'!$R$20:$R$136))</f>
        <v>2172</v>
      </c>
      <c r="D6" s="41">
        <f ca="1">IF(C6="","",SUMIF('CH jednotlivci'!$A$20:$B$136,'Číselník škol'!$A6&amp;"/"&amp;LEFT('Číselník škol'!D$1,1),'CH jednotlivci'!$R$20:$R$136))</f>
        <v>1252</v>
      </c>
      <c r="E6" s="41">
        <f ca="1">IF(D6="","",SUMIF('CH jednotlivci'!$A$20:$B$136,'Číselník škol'!$A6&amp;"/"&amp;LEFT('Číselník škol'!E$1,1),'CH jednotlivci'!$R$20:$R$136))</f>
        <v>1783</v>
      </c>
      <c r="F6" s="41">
        <f ca="1">IF(E6="","",SUMIF('CH jednotlivci'!$A$20:$B$136,'Číselník škol'!$A6&amp;"/"&amp;LEFT('Číselník škol'!F$1,1),'CH jednotlivci'!$R$20:$R$136))</f>
        <v>1482</v>
      </c>
      <c r="G6" s="41">
        <f ca="1">IF(F6="","",SUMIF('CH jednotlivci'!$A$20:$B$136,'Číselník škol'!$A6&amp;"/"&amp;LEFT('Číselník škol'!G$1,1),'CH jednotlivci'!$R$20:$R$136))</f>
        <v>1540</v>
      </c>
      <c r="H6" s="42">
        <f ca="1">IF(B6="","",IF(COUNTIF('CH jednotlivci'!$D$20:$D$136,'Číselník škol'!B6)&lt;5,SUM(C6:G6),SUM(C6:G6)-MIN(C6:G6)))</f>
        <v>6977</v>
      </c>
      <c r="I6" s="43">
        <f t="shared" ca="1" si="1"/>
        <v>3</v>
      </c>
    </row>
    <row r="7" spans="1:9" ht="18.75" x14ac:dyDescent="0.25">
      <c r="A7" s="40">
        <f t="shared" si="0"/>
        <v>6</v>
      </c>
      <c r="B7" s="47" t="s">
        <v>65</v>
      </c>
      <c r="C7" s="41">
        <f ca="1">IF(B7="","",SUMIF('CH jednotlivci'!$A$20:$B$136,'Číselník škol'!$A7&amp;"/"&amp;LEFT('Číselník škol'!C$1,1),'CH jednotlivci'!$R$20:$R$136))</f>
        <v>1760</v>
      </c>
      <c r="D7" s="41">
        <f ca="1">IF(C7="","",SUMIF('CH jednotlivci'!$A$20:$B$136,'Číselník škol'!$A7&amp;"/"&amp;LEFT('Číselník škol'!D$1,1),'CH jednotlivci'!$R$20:$R$136))</f>
        <v>1510</v>
      </c>
      <c r="E7" s="41">
        <f ca="1">IF(D7="","",SUMIF('CH jednotlivci'!$A$20:$B$136,'Číselník škol'!$A7&amp;"/"&amp;LEFT('Číselník škol'!E$1,1),'CH jednotlivci'!$R$20:$R$136))</f>
        <v>1414</v>
      </c>
      <c r="F7" s="41">
        <f ca="1">IF(E7="","",SUMIF('CH jednotlivci'!$A$20:$B$136,'Číselník škol'!$A7&amp;"/"&amp;LEFT('Číselník škol'!F$1,1),'CH jednotlivci'!$R$20:$R$136))</f>
        <v>1938</v>
      </c>
      <c r="G7" s="41">
        <f ca="1">IF(F7="","",SUMIF('CH jednotlivci'!$A$20:$B$136,'Číselník škol'!$A7&amp;"/"&amp;LEFT('Číselník škol'!G$1,1),'CH jednotlivci'!$R$20:$R$136))</f>
        <v>1504</v>
      </c>
      <c r="H7" s="42">
        <f ca="1">IF(B7="","",IF(COUNTIF('CH jednotlivci'!$D$20:$D$136,'Číselník škol'!B7)&lt;5,SUM(C7:G7),SUM(C7:G7)-MIN(C7:G7)))</f>
        <v>6712</v>
      </c>
      <c r="I7" s="43">
        <f t="shared" ca="1" si="1"/>
        <v>5</v>
      </c>
    </row>
    <row r="8" spans="1:9" ht="18.75" x14ac:dyDescent="0.25">
      <c r="A8" s="40">
        <f t="shared" si="0"/>
        <v>7</v>
      </c>
      <c r="B8" s="47" t="s">
        <v>66</v>
      </c>
      <c r="C8" s="41">
        <f ca="1">IF(B8="","",SUMIF('CH jednotlivci'!$A$20:$B$136,'Číselník škol'!$A8&amp;"/"&amp;LEFT('Číselník škol'!C$1,1),'CH jednotlivci'!$R$20:$R$136))</f>
        <v>2020</v>
      </c>
      <c r="D8" s="41">
        <f ca="1">IF(C8="","",SUMIF('CH jednotlivci'!$A$20:$B$136,'Číselník škol'!$A8&amp;"/"&amp;LEFT('Číselník škol'!D$1,1),'CH jednotlivci'!$R$20:$R$136))</f>
        <v>1767</v>
      </c>
      <c r="E8" s="41">
        <f ca="1">IF(D8="","",SUMIF('CH jednotlivci'!$A$20:$B$136,'Číselník škol'!$A8&amp;"/"&amp;LEFT('Číselník škol'!E$1,1),'CH jednotlivci'!$R$20:$R$136))</f>
        <v>1585</v>
      </c>
      <c r="F8" s="41">
        <f ca="1">IF(E8="","",SUMIF('CH jednotlivci'!$A$20:$B$136,'Číselník škol'!$A8&amp;"/"&amp;LEFT('Číselník škol'!F$1,1),'CH jednotlivci'!$R$20:$R$136))</f>
        <v>1691</v>
      </c>
      <c r="G8" s="41">
        <f ca="1">IF(F8="","",SUMIF('CH jednotlivci'!$A$20:$B$136,'Číselník škol'!$A8&amp;"/"&amp;LEFT('Číselník škol'!G$1,1),'CH jednotlivci'!$R$20:$R$136))</f>
        <v>1711</v>
      </c>
      <c r="H8" s="42">
        <f ca="1">IF(B8="","",IF(COUNTIF('CH jednotlivci'!$D$20:$D$136,'Číselník škol'!B8)&lt;5,SUM(C8:G8),SUM(C8:G8)-MIN(C8:G8)))</f>
        <v>7189</v>
      </c>
      <c r="I8" s="43">
        <f t="shared" ca="1" si="1"/>
        <v>1</v>
      </c>
    </row>
    <row r="9" spans="1:9" ht="18.75" x14ac:dyDescent="0.25">
      <c r="A9" s="40">
        <f t="shared" si="0"/>
        <v>8</v>
      </c>
      <c r="B9" s="47" t="s">
        <v>67</v>
      </c>
      <c r="C9" s="41">
        <f ca="1">IF(B9="","",SUMIF('CH jednotlivci'!$A$20:$B$136,'Číselník škol'!$A9&amp;"/"&amp;LEFT('Číselník škol'!C$1,1),'CH jednotlivci'!$R$20:$R$136))</f>
        <v>941</v>
      </c>
      <c r="D9" s="41">
        <f ca="1">IF(C9="","",SUMIF('CH jednotlivci'!$A$20:$B$136,'Číselník škol'!$A9&amp;"/"&amp;LEFT('Číselník škol'!D$1,1),'CH jednotlivci'!$R$20:$R$136))</f>
        <v>1521</v>
      </c>
      <c r="E9" s="41">
        <f ca="1">IF(D9="","",SUMIF('CH jednotlivci'!$A$20:$B$136,'Číselník škol'!$A9&amp;"/"&amp;LEFT('Číselník škol'!E$1,1),'CH jednotlivci'!$R$20:$R$136))</f>
        <v>1445</v>
      </c>
      <c r="F9" s="41">
        <f ca="1">IF(E9="","",SUMIF('CH jednotlivci'!$A$20:$B$136,'Číselník škol'!$A9&amp;"/"&amp;LEFT('Číselník škol'!F$1,1),'CH jednotlivci'!$R$20:$R$136))</f>
        <v>1520</v>
      </c>
      <c r="G9" s="41">
        <f ca="1">IF(F9="","",SUMIF('CH jednotlivci'!$A$20:$B$136,'Číselník škol'!$A9&amp;"/"&amp;LEFT('Číselník škol'!G$1,1),'CH jednotlivci'!$R$20:$R$136))</f>
        <v>1564</v>
      </c>
      <c r="H9" s="42">
        <f ca="1">IF(B9="","",IF(COUNTIF('CH jednotlivci'!$D$20:$D$136,'Číselník škol'!B9)&lt;5,SUM(C9:G9),SUM(C9:G9)-MIN(C9:G9)))</f>
        <v>6050</v>
      </c>
      <c r="I9" s="43">
        <f t="shared" ca="1" si="1"/>
        <v>6</v>
      </c>
    </row>
    <row r="10" spans="1:9" ht="18.75" x14ac:dyDescent="0.25">
      <c r="A10" s="40">
        <f t="shared" si="0"/>
        <v>9</v>
      </c>
      <c r="B10" s="47" t="s">
        <v>68</v>
      </c>
      <c r="C10" s="41">
        <f ca="1">IF(B10="","",SUMIF('CH jednotlivci'!$A$20:$B$136,'Číselník škol'!$A10&amp;"/"&amp;LEFT('Číselník škol'!C$1,1),'CH jednotlivci'!$R$20:$R$136))</f>
        <v>1631</v>
      </c>
      <c r="D10" s="41">
        <f ca="1">IF(C10="","",SUMIF('CH jednotlivci'!$A$20:$B$136,'Číselník škol'!$A10&amp;"/"&amp;LEFT('Číselník škol'!D$1,1),'CH jednotlivci'!$R$20:$R$136))</f>
        <v>1366</v>
      </c>
      <c r="E10" s="41">
        <f ca="1">IF(D10="","",SUMIF('CH jednotlivci'!$A$20:$B$136,'Číselník škol'!$A10&amp;"/"&amp;LEFT('Číselník škol'!E$1,1),'CH jednotlivci'!$R$20:$R$136))</f>
        <v>1576</v>
      </c>
      <c r="F10" s="41">
        <f ca="1">IF(E10="","",SUMIF('CH jednotlivci'!$A$20:$B$136,'Číselník škol'!$A10&amp;"/"&amp;LEFT('Číselník škol'!F$1,1),'CH jednotlivci'!$R$20:$R$136))</f>
        <v>1146</v>
      </c>
      <c r="G10" s="41">
        <f ca="1">IF(F10="","",SUMIF('CH jednotlivci'!$A$20:$B$136,'Číselník škol'!$A10&amp;"/"&amp;LEFT('Číselník škol'!G$1,1),'CH jednotlivci'!$R$20:$R$136))</f>
        <v>1002</v>
      </c>
      <c r="H10" s="42">
        <f ca="1">IF(B10="","",IF(COUNTIF('CH jednotlivci'!$D$20:$D$136,'Číselník škol'!B10)&lt;5,SUM(C10:G10),SUM(C10:G10)-MIN(C10:G10)))</f>
        <v>5719</v>
      </c>
      <c r="I10" s="43">
        <f t="shared" ca="1" si="1"/>
        <v>8</v>
      </c>
    </row>
    <row r="11" spans="1:9" ht="18.75" x14ac:dyDescent="0.25">
      <c r="A11" s="40">
        <f t="shared" si="0"/>
        <v>10</v>
      </c>
      <c r="B11" s="47" t="s">
        <v>132</v>
      </c>
      <c r="C11" s="41">
        <f ca="1">IF(B11="","",SUMIF('CH jednotlivci'!$A$20:$B$136,'Číselník škol'!$A11&amp;"/"&amp;LEFT('Číselník škol'!C$1,1),'CH jednotlivci'!$R$20:$R$136))</f>
        <v>1168</v>
      </c>
      <c r="D11" s="41">
        <f ca="1">IF(C11="","",SUMIF('CH jednotlivci'!$A$20:$B$136,'Číselník škol'!$A11&amp;"/"&amp;LEFT('Číselník škol'!D$1,1),'CH jednotlivci'!$R$20:$R$136))</f>
        <v>956</v>
      </c>
      <c r="E11" s="41">
        <f ca="1">IF(D11="","",SUMIF('CH jednotlivci'!$A$20:$B$136,'Číselník škol'!$A11&amp;"/"&amp;LEFT('Číselník škol'!E$1,1),'CH jednotlivci'!$R$20:$R$136))</f>
        <v>1036</v>
      </c>
      <c r="F11" s="41">
        <f ca="1">IF(E11="","",SUMIF('CH jednotlivci'!$A$20:$B$136,'Číselník škol'!$A11&amp;"/"&amp;LEFT('Číselník škol'!F$1,1),'CH jednotlivci'!$R$20:$R$136))</f>
        <v>1726</v>
      </c>
      <c r="G11" s="41">
        <f ca="1">IF(F11="","",SUMIF('CH jednotlivci'!$A$20:$B$136,'Číselník škol'!$A11&amp;"/"&amp;LEFT('Číselník škol'!G$1,1),'CH jednotlivci'!$R$20:$R$136))</f>
        <v>1113</v>
      </c>
      <c r="H11" s="42">
        <f ca="1">IF(B11="","",IF(COUNTIF('CH jednotlivci'!$D$20:$D$136,'Číselník škol'!B11)&lt;5,SUM(C11:G11),SUM(C11:G11)-MIN(C11:G11)))</f>
        <v>5043</v>
      </c>
      <c r="I11" s="43">
        <f t="shared" ca="1" si="1"/>
        <v>10</v>
      </c>
    </row>
    <row r="13" spans="1:9" x14ac:dyDescent="0.2">
      <c r="A13" s="45"/>
      <c r="B13" s="22" t="s">
        <v>22</v>
      </c>
      <c r="C13" s="23" t="s">
        <v>14</v>
      </c>
      <c r="D13" s="23" t="s">
        <v>9</v>
      </c>
      <c r="E13" s="23" t="s">
        <v>10</v>
      </c>
      <c r="F13" s="23" t="s">
        <v>11</v>
      </c>
      <c r="G13" s="23" t="s">
        <v>12</v>
      </c>
      <c r="H13" s="46" t="s">
        <v>15</v>
      </c>
      <c r="I13" s="46" t="s">
        <v>16</v>
      </c>
    </row>
    <row r="14" spans="1:9" ht="18.75" x14ac:dyDescent="0.25">
      <c r="A14" s="40">
        <f>IF(B14="","",1)</f>
        <v>1</v>
      </c>
      <c r="B14" s="47" t="s">
        <v>60</v>
      </c>
      <c r="C14" s="41">
        <f ca="1">IF(B14="","",SUMIF('D jednotlivci'!$A$20:$B$136,'Číselník škol'!$A14&amp;"/"&amp;LEFT('Číselník škol'!C$1,1),'D jednotlivci'!$R$20:$R$136))</f>
        <v>1598</v>
      </c>
      <c r="D14" s="41">
        <f ca="1">IF(C14="","",SUMIF('D jednotlivci'!$A$20:$B$136,'Číselník škol'!$A14&amp;"/"&amp;LEFT('Číselník škol'!D$1,1),'D jednotlivci'!$R$20:$R$136))</f>
        <v>1701</v>
      </c>
      <c r="E14" s="41">
        <f ca="1">IF(D14="","",SUMIF('D jednotlivci'!$A$20:$B$136,'Číselník škol'!$A14&amp;"/"&amp;LEFT('Číselník škol'!E$1,1),'D jednotlivci'!$R$20:$R$136))</f>
        <v>1681</v>
      </c>
      <c r="F14" s="41">
        <f ca="1">IF(E14="","",SUMIF('D jednotlivci'!$A$20:$B$136,'Číselník škol'!$A14&amp;"/"&amp;LEFT('Číselník škol'!F$1,1),'D jednotlivci'!$R$20:$R$136))</f>
        <v>1356</v>
      </c>
      <c r="G14" s="41">
        <f ca="1">IF(F14="","",SUMIF('D jednotlivci'!$A$20:$B$136,'Číselník škol'!$A14&amp;"/"&amp;LEFT('Číselník škol'!G$1,1),'D jednotlivci'!$R$20:$R$136))</f>
        <v>1332</v>
      </c>
      <c r="H14" s="42">
        <f ca="1">IF(B14="","",IF(COUNTIF('D jednotlivci'!$D$20:$D$136,'Číselník škol'!B14)&lt;5,SUM(C14:G14),SUM(C14:G14)-MIN(C14:G14)))</f>
        <v>6336</v>
      </c>
      <c r="I14" s="43">
        <f ca="1">IF(OR(H14=0,B14=""),"",RANK(H14,$H$14:$H$23,0))</f>
        <v>5</v>
      </c>
    </row>
    <row r="15" spans="1:9" ht="18.75" x14ac:dyDescent="0.25">
      <c r="A15" s="40">
        <f t="shared" ref="A15:A23" si="2">IF(B15="","",A14+1)</f>
        <v>2</v>
      </c>
      <c r="B15" s="47" t="s">
        <v>59</v>
      </c>
      <c r="C15" s="41">
        <f ca="1">IF(B15="","",SUMIF('D jednotlivci'!$A$20:$B$136,'Číselník škol'!$A15&amp;"/"&amp;LEFT('Číselník škol'!C$1,1),'D jednotlivci'!$R$20:$R$136))</f>
        <v>1785</v>
      </c>
      <c r="D15" s="41">
        <f ca="1">IF(C15="","",SUMIF('D jednotlivci'!$A$20:$B$136,'Číselník škol'!$A15&amp;"/"&amp;LEFT('Číselník škol'!D$1,1),'D jednotlivci'!$R$20:$R$136))</f>
        <v>1477</v>
      </c>
      <c r="E15" s="41">
        <f ca="1">IF(D15="","",SUMIF('D jednotlivci'!$A$20:$B$136,'Číselník škol'!$A15&amp;"/"&amp;LEFT('Číselník škol'!E$1,1),'D jednotlivci'!$R$20:$R$136))</f>
        <v>1354</v>
      </c>
      <c r="F15" s="41">
        <f ca="1">IF(E15="","",SUMIF('D jednotlivci'!$A$20:$B$136,'Číselník škol'!$A15&amp;"/"&amp;LEFT('Číselník škol'!F$1,1),'D jednotlivci'!$R$20:$R$136))</f>
        <v>1583</v>
      </c>
      <c r="G15" s="41">
        <f ca="1">IF(F15="","",SUMIF('D jednotlivci'!$A$20:$B$136,'Číselník škol'!$A15&amp;"/"&amp;LEFT('Číselník škol'!G$1,1),'D jednotlivci'!$R$20:$R$136))</f>
        <v>1654</v>
      </c>
      <c r="H15" s="42">
        <f ca="1">IF(B15="","",IF(COUNTIF('D jednotlivci'!$D$20:$D$136,'Číselník škol'!B15)&lt;5,SUM(C15:G15),SUM(C15:G15)-MIN(C15:G15)))</f>
        <v>6499</v>
      </c>
      <c r="I15" s="43">
        <f t="shared" ref="I15:I23" ca="1" si="3">IF(OR(H15=0,B15=""),"",RANK(H15,$H$14:$H$23,0))</f>
        <v>4</v>
      </c>
    </row>
    <row r="16" spans="1:9" ht="18.75" x14ac:dyDescent="0.25">
      <c r="A16" s="40">
        <f t="shared" si="2"/>
        <v>3</v>
      </c>
      <c r="B16" s="47" t="s">
        <v>57</v>
      </c>
      <c r="C16" s="41">
        <f ca="1">IF(B16="","",SUMIF('D jednotlivci'!$A$20:$B$136,'Číselník škol'!$A16&amp;"/"&amp;LEFT('Číselník škol'!C$1,1),'D jednotlivci'!$R$20:$R$136))</f>
        <v>1963</v>
      </c>
      <c r="D16" s="41">
        <f ca="1">IF(C16="","",SUMIF('D jednotlivci'!$A$20:$B$136,'Číselník škol'!$A16&amp;"/"&amp;LEFT('Číselník škol'!D$1,1),'D jednotlivci'!$R$20:$R$136))</f>
        <v>1639</v>
      </c>
      <c r="E16" s="41">
        <f ca="1">IF(D16="","",SUMIF('D jednotlivci'!$A$20:$B$136,'Číselník škol'!$A16&amp;"/"&amp;LEFT('Číselník škol'!E$1,1),'D jednotlivci'!$R$20:$R$136))</f>
        <v>1578</v>
      </c>
      <c r="F16" s="41">
        <f ca="1">IF(E16="","",SUMIF('D jednotlivci'!$A$20:$B$136,'Číselník škol'!$A16&amp;"/"&amp;LEFT('Číselník škol'!F$1,1),'D jednotlivci'!$R$20:$R$136))</f>
        <v>1885</v>
      </c>
      <c r="G16" s="41">
        <f ca="1">IF(F16="","",SUMIF('D jednotlivci'!$A$20:$B$136,'Číselník škol'!$A16&amp;"/"&amp;LEFT('Číselník škol'!G$1,1),'D jednotlivci'!$R$20:$R$136))</f>
        <v>1542</v>
      </c>
      <c r="H16" s="42">
        <f ca="1">IF(B16="","",IF(COUNTIF('D jednotlivci'!$D$20:$D$136,'Číselník škol'!B16)&lt;5,SUM(C16:G16),SUM(C16:G16)-MIN(C16:G16)))</f>
        <v>7065</v>
      </c>
      <c r="I16" s="43">
        <f t="shared" ca="1" si="3"/>
        <v>1</v>
      </c>
    </row>
    <row r="17" spans="1:9" ht="18.75" x14ac:dyDescent="0.25">
      <c r="A17" s="40">
        <f t="shared" si="2"/>
        <v>4</v>
      </c>
      <c r="B17" s="47" t="s">
        <v>58</v>
      </c>
      <c r="C17" s="41">
        <f ca="1">IF(B17="","",SUMIF('D jednotlivci'!$A$20:$B$136,'Číselník škol'!$A17&amp;"/"&amp;LEFT('Číselník škol'!C$1,1),'D jednotlivci'!$R$20:$R$136))</f>
        <v>1688</v>
      </c>
      <c r="D17" s="41">
        <f ca="1">IF(C17="","",SUMIF('D jednotlivci'!$A$20:$B$136,'Číselník škol'!$A17&amp;"/"&amp;LEFT('Číselník škol'!D$1,1),'D jednotlivci'!$R$20:$R$136))</f>
        <v>1381</v>
      </c>
      <c r="E17" s="41">
        <f ca="1">IF(D17="","",SUMIF('D jednotlivci'!$A$20:$B$136,'Číselník škol'!$A17&amp;"/"&amp;LEFT('Číselník škol'!E$1,1),'D jednotlivci'!$R$20:$R$136))</f>
        <v>1972</v>
      </c>
      <c r="F17" s="41">
        <f ca="1">IF(E17="","",SUMIF('D jednotlivci'!$A$20:$B$136,'Číselník škol'!$A17&amp;"/"&amp;LEFT('Číselník škol'!F$1,1),'D jednotlivci'!$R$20:$R$136))</f>
        <v>1894</v>
      </c>
      <c r="G17" s="41">
        <f ca="1">IF(F17="","",SUMIF('D jednotlivci'!$A$20:$B$136,'Číselník škol'!$A17&amp;"/"&amp;LEFT('Číselník škol'!G$1,1),'D jednotlivci'!$R$20:$R$136))</f>
        <v>0</v>
      </c>
      <c r="H17" s="42">
        <f ca="1">IF(B17="","",IF(COUNTIF('D jednotlivci'!$D$20:$D$136,'Číselník škol'!B17)&lt;5,SUM(C17:G17),SUM(C17:G17)-MIN(C17:G17)))</f>
        <v>6935</v>
      </c>
      <c r="I17" s="43">
        <f t="shared" ca="1" si="3"/>
        <v>2</v>
      </c>
    </row>
    <row r="18" spans="1:9" ht="18.75" x14ac:dyDescent="0.25">
      <c r="A18" s="40">
        <f t="shared" si="2"/>
        <v>5</v>
      </c>
      <c r="B18" s="47" t="s">
        <v>61</v>
      </c>
      <c r="C18" s="41">
        <f ca="1">IF(B18="","",SUMIF('D jednotlivci'!$A$20:$B$136,'Číselník škol'!$A18&amp;"/"&amp;LEFT('Číselník škol'!C$1,1),'D jednotlivci'!$R$20:$R$136))</f>
        <v>1797</v>
      </c>
      <c r="D18" s="41">
        <f ca="1">IF(C18="","",SUMIF('D jednotlivci'!$A$20:$B$136,'Číselník škol'!$A18&amp;"/"&amp;LEFT('Číselník škol'!D$1,1),'D jednotlivci'!$R$20:$R$136))</f>
        <v>1871</v>
      </c>
      <c r="E18" s="41">
        <f ca="1">IF(D18="","",SUMIF('D jednotlivci'!$A$20:$B$136,'Číselník škol'!$A18&amp;"/"&amp;LEFT('Číselník škol'!E$1,1),'D jednotlivci'!$R$20:$R$136))</f>
        <v>1339</v>
      </c>
      <c r="F18" s="41">
        <f ca="1">IF(E18="","",SUMIF('D jednotlivci'!$A$20:$B$136,'Číselník škol'!$A18&amp;"/"&amp;LEFT('Číselník škol'!F$1,1),'D jednotlivci'!$R$20:$R$136))</f>
        <v>1201</v>
      </c>
      <c r="G18" s="41">
        <f ca="1">IF(F18="","",SUMIF('D jednotlivci'!$A$20:$B$136,'Číselník škol'!$A18&amp;"/"&amp;LEFT('Číselník škol'!G$1,1),'D jednotlivci'!$R$20:$R$136))</f>
        <v>0</v>
      </c>
      <c r="H18" s="42">
        <f ca="1">IF(B18="","",IF(COUNTIF('D jednotlivci'!$D$20:$D$136,'Číselník škol'!B18)&lt;5,SUM(C18:G18),SUM(C18:G18)-MIN(C18:G18)))</f>
        <v>6208</v>
      </c>
      <c r="I18" s="43">
        <f t="shared" ca="1" si="3"/>
        <v>6</v>
      </c>
    </row>
    <row r="19" spans="1:9" ht="18.75" x14ac:dyDescent="0.25">
      <c r="A19" s="40">
        <f t="shared" si="2"/>
        <v>6</v>
      </c>
      <c r="B19" s="47" t="s">
        <v>66</v>
      </c>
      <c r="C19" s="41">
        <f ca="1">IF(B19="","",SUMIF('D jednotlivci'!$A$20:$B$136,'Číselník škol'!$A19&amp;"/"&amp;LEFT('Číselník škol'!C$1,1),'D jednotlivci'!$R$20:$R$136))</f>
        <v>1094</v>
      </c>
      <c r="D19" s="41">
        <f ca="1">IF(C19="","",SUMIF('D jednotlivci'!$A$20:$B$136,'Číselník škol'!$A19&amp;"/"&amp;LEFT('Číselník škol'!D$1,1),'D jednotlivci'!$R$20:$R$136))</f>
        <v>1584</v>
      </c>
      <c r="E19" s="41">
        <f ca="1">IF(D19="","",SUMIF('D jednotlivci'!$A$20:$B$136,'Číselník škol'!$A19&amp;"/"&amp;LEFT('Číselník škol'!E$1,1),'D jednotlivci'!$R$20:$R$136))</f>
        <v>1435</v>
      </c>
      <c r="F19" s="41">
        <f ca="1">IF(E19="","",SUMIF('D jednotlivci'!$A$20:$B$136,'Číselník škol'!$A19&amp;"/"&amp;LEFT('Číselník škol'!F$1,1),'D jednotlivci'!$R$20:$R$136))</f>
        <v>1010</v>
      </c>
      <c r="G19" s="41">
        <f ca="1">IF(F19="","",SUMIF('D jednotlivci'!$A$20:$B$136,'Číselník škol'!$A19&amp;"/"&amp;LEFT('Číselník škol'!G$1,1),'D jednotlivci'!$R$20:$R$136))</f>
        <v>865</v>
      </c>
      <c r="H19" s="42">
        <f ca="1">IF(B19="","",IF(COUNTIF('D jednotlivci'!$D$20:$D$136,'Číselník škol'!B19)&lt;5,SUM(C19:G19),SUM(C19:G19)-MIN(C19:G19)))</f>
        <v>5123</v>
      </c>
      <c r="I19" s="43">
        <f t="shared" ca="1" si="3"/>
        <v>10</v>
      </c>
    </row>
    <row r="20" spans="1:9" ht="18.75" x14ac:dyDescent="0.25">
      <c r="A20" s="40">
        <f t="shared" si="2"/>
        <v>7</v>
      </c>
      <c r="B20" s="47" t="s">
        <v>62</v>
      </c>
      <c r="C20" s="41">
        <f ca="1">IF(B20="","",SUMIF('D jednotlivci'!$A$20:$B$136,'Číselník škol'!$A20&amp;"/"&amp;LEFT('Číselník škol'!C$1,1),'D jednotlivci'!$R$20:$R$136))</f>
        <v>1556</v>
      </c>
      <c r="D20" s="41">
        <f ca="1">IF(C20="","",SUMIF('D jednotlivci'!$A$20:$B$136,'Číselník škol'!$A20&amp;"/"&amp;LEFT('Číselník škol'!D$1,1),'D jednotlivci'!$R$20:$R$136))</f>
        <v>1567</v>
      </c>
      <c r="E20" s="41">
        <f ca="1">IF(D20="","",SUMIF('D jednotlivci'!$A$20:$B$136,'Číselník škol'!$A20&amp;"/"&amp;LEFT('Číselník škol'!E$1,1),'D jednotlivci'!$R$20:$R$136))</f>
        <v>933</v>
      </c>
      <c r="F20" s="41">
        <f ca="1">IF(E20="","",SUMIF('D jednotlivci'!$A$20:$B$136,'Číselník škol'!$A20&amp;"/"&amp;LEFT('Číselník škol'!F$1,1),'D jednotlivci'!$R$20:$R$136))</f>
        <v>1066</v>
      </c>
      <c r="G20" s="41">
        <f ca="1">IF(F20="","",SUMIF('D jednotlivci'!$A$20:$B$136,'Číselník škol'!$A20&amp;"/"&amp;LEFT('Číselník škol'!G$1,1),'D jednotlivci'!$R$20:$R$136))</f>
        <v>1139</v>
      </c>
      <c r="H20" s="42">
        <f ca="1">IF(B20="","",IF(COUNTIF('D jednotlivci'!$D$20:$D$136,'Číselník škol'!B20)&lt;5,SUM(C20:G20),SUM(C20:G20)-MIN(C20:G20)))</f>
        <v>5328</v>
      </c>
      <c r="I20" s="43">
        <f t="shared" ca="1" si="3"/>
        <v>9</v>
      </c>
    </row>
    <row r="21" spans="1:9" ht="18.75" x14ac:dyDescent="0.25">
      <c r="A21" s="40">
        <f t="shared" si="2"/>
        <v>8</v>
      </c>
      <c r="B21" s="47" t="s">
        <v>69</v>
      </c>
      <c r="C21" s="41">
        <f ca="1">IF(B21="","",SUMIF('D jednotlivci'!$A$20:$B$136,'Číselník škol'!$A21&amp;"/"&amp;LEFT('Číselník škol'!C$1,1),'D jednotlivci'!$R$20:$R$136))</f>
        <v>1535</v>
      </c>
      <c r="D21" s="41">
        <f ca="1">IF(C21="","",SUMIF('D jednotlivci'!$A$20:$B$136,'Číselník škol'!$A21&amp;"/"&amp;LEFT('Číselník škol'!D$1,1),'D jednotlivci'!$R$20:$R$136))</f>
        <v>1398</v>
      </c>
      <c r="E21" s="41">
        <f ca="1">IF(D21="","",SUMIF('D jednotlivci'!$A$20:$B$136,'Číselník škol'!$A21&amp;"/"&amp;LEFT('Číselník škol'!E$1,1),'D jednotlivci'!$R$20:$R$136))</f>
        <v>1267</v>
      </c>
      <c r="F21" s="41">
        <f ca="1">IF(E21="","",SUMIF('D jednotlivci'!$A$20:$B$136,'Číselník škol'!$A21&amp;"/"&amp;LEFT('Číselník škol'!F$1,1),'D jednotlivci'!$R$20:$R$136))</f>
        <v>1586</v>
      </c>
      <c r="G21" s="41">
        <f ca="1">IF(F21="","",SUMIF('D jednotlivci'!$A$20:$B$136,'Číselník škol'!$A21&amp;"/"&amp;LEFT('Číselník škol'!G$1,1),'D jednotlivci'!$R$20:$R$136))</f>
        <v>1140</v>
      </c>
      <c r="H21" s="42">
        <f ca="1">IF(B21="","",IF(COUNTIF('D jednotlivci'!$D$20:$D$136,'Číselník škol'!B21)&lt;5,SUM(C21:G21),SUM(C21:G21)-MIN(C21:G21)))</f>
        <v>5786</v>
      </c>
      <c r="I21" s="43">
        <f t="shared" ca="1" si="3"/>
        <v>7</v>
      </c>
    </row>
    <row r="22" spans="1:9" ht="18.75" x14ac:dyDescent="0.25">
      <c r="A22" s="40">
        <f t="shared" si="2"/>
        <v>9</v>
      </c>
      <c r="B22" s="47" t="s">
        <v>127</v>
      </c>
      <c r="C22" s="41">
        <f ca="1">IF(B22="","",SUMIF('D jednotlivci'!$A$20:$B$136,'Číselník škol'!$A22&amp;"/"&amp;LEFT('Číselník škol'!C$1,1),'D jednotlivci'!$R$20:$R$136))</f>
        <v>1411</v>
      </c>
      <c r="D22" s="41">
        <f ca="1">IF(C22="","",SUMIF('D jednotlivci'!$A$20:$B$136,'Číselník škol'!$A22&amp;"/"&amp;LEFT('Číselník škol'!D$1,1),'D jednotlivci'!$R$20:$R$136))</f>
        <v>1276</v>
      </c>
      <c r="E22" s="41">
        <f ca="1">IF(D22="","",SUMIF('D jednotlivci'!$A$20:$B$136,'Číselník škol'!$A22&amp;"/"&amp;LEFT('Číselník škol'!E$1,1),'D jednotlivci'!$R$20:$R$136))</f>
        <v>1736</v>
      </c>
      <c r="F22" s="41">
        <f ca="1">IF(E22="","",SUMIF('D jednotlivci'!$A$20:$B$136,'Číselník škol'!$A22&amp;"/"&amp;LEFT('Číselník škol'!F$1,1),'D jednotlivci'!$R$20:$R$136))</f>
        <v>1132</v>
      </c>
      <c r="G22" s="41">
        <f ca="1">IF(F22="","",SUMIF('D jednotlivci'!$A$20:$B$136,'Číselník škol'!$A22&amp;"/"&amp;LEFT('Číselník škol'!G$1,1),'D jednotlivci'!$R$20:$R$136))</f>
        <v>1187</v>
      </c>
      <c r="H22" s="42">
        <f ca="1">IF(B22="","",IF(COUNTIF('D jednotlivci'!$D$20:$D$136,'Číselník škol'!B22)&lt;5,SUM(C22:G22),SUM(C22:G22)-MIN(C22:G22)))</f>
        <v>5610</v>
      </c>
      <c r="I22" s="43">
        <f t="shared" ca="1" si="3"/>
        <v>8</v>
      </c>
    </row>
    <row r="23" spans="1:9" ht="18.75" x14ac:dyDescent="0.25">
      <c r="A23" s="40">
        <f t="shared" si="2"/>
        <v>10</v>
      </c>
      <c r="B23" s="47" t="s">
        <v>46</v>
      </c>
      <c r="C23" s="41">
        <f ca="1">IF(B23="","",SUMIF('D jednotlivci'!$A$20:$B$136,'Číselník škol'!$A23&amp;"/"&amp;LEFT('Číselník škol'!C$1,1),'D jednotlivci'!$R$20:$R$136))</f>
        <v>1751</v>
      </c>
      <c r="D23" s="41">
        <f ca="1">IF(C23="","",SUMIF('D jednotlivci'!$A$20:$B$136,'Číselník škol'!$A23&amp;"/"&amp;LEFT('Číselník škol'!D$1,1),'D jednotlivci'!$R$20:$R$136))</f>
        <v>1791</v>
      </c>
      <c r="E23" s="41">
        <f ca="1">IF(D23="","",SUMIF('D jednotlivci'!$A$20:$B$136,'Číselník škol'!$A23&amp;"/"&amp;LEFT('Číselník škol'!E$1,1),'D jednotlivci'!$R$20:$R$136))</f>
        <v>1747</v>
      </c>
      <c r="F23" s="41">
        <f ca="1">IF(E23="","",SUMIF('D jednotlivci'!$A$20:$B$136,'Číselník škol'!$A23&amp;"/"&amp;LEFT('Číselník škol'!F$1,1),'D jednotlivci'!$R$20:$R$136))</f>
        <v>1613</v>
      </c>
      <c r="G23" s="41">
        <f ca="1">IF(F23="","",SUMIF('D jednotlivci'!$A$20:$B$136,'Číselník škol'!$A23&amp;"/"&amp;LEFT('Číselník škol'!G$1,1),'D jednotlivci'!$R$20:$R$136))</f>
        <v>1417</v>
      </c>
      <c r="H23" s="42">
        <f ca="1">IF(B23="","",IF(COUNTIF('D jednotlivci'!$D$20:$D$136,'Číselník škol'!B23)&lt;5,SUM(C23:G23),SUM(C23:G23)-MIN(C23:G23)))</f>
        <v>6902</v>
      </c>
      <c r="I23" s="43">
        <f t="shared" ca="1" si="3"/>
        <v>3</v>
      </c>
    </row>
  </sheetData>
  <sheetProtection algorithmName="SHA-512" hashValue="p7pkFn5gCqU4pdId5pFjUipg8QzVC68EdpxZMNJw3jIIZPtQ2SfdOUc6ytO8kwDQnzMIyVg8ao8jr0vf7MTZFg==" saltValue="bYyAPuaKhwBUOPL9L9lxMA==" spinCount="100000" sheet="1" objects="1" scenarios="1"/>
  <sortState ref="B12:B15">
    <sortCondition ref="B12:B1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CH jednotlivci</vt:lpstr>
      <vt:lpstr>D jednotlivci</vt:lpstr>
      <vt:lpstr>TISK</vt:lpstr>
      <vt:lpstr>Číselník škol</vt:lpstr>
      <vt:lpstr>'CH jednotlivci'!Názvy_tisku</vt:lpstr>
      <vt:lpstr>'D jednotlivci'!Oblast_tisku</vt:lpstr>
      <vt:lpstr>'CH jednotlivci'!Oblast_tisku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horčičková</dc:creator>
  <cp:lastModifiedBy>Uživatel systému Windows</cp:lastModifiedBy>
  <cp:lastPrinted>2019-10-21T06:21:43Z</cp:lastPrinted>
  <dcterms:created xsi:type="dcterms:W3CDTF">2016-05-02T08:02:06Z</dcterms:created>
  <dcterms:modified xsi:type="dcterms:W3CDTF">2019-10-21T06:35:04Z</dcterms:modified>
</cp:coreProperties>
</file>